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-1\Desktop\"/>
    </mc:Choice>
  </mc:AlternateContent>
  <bookViews>
    <workbookView xWindow="0" yWindow="0" windowWidth="21570" windowHeight="10095"/>
  </bookViews>
  <sheets>
    <sheet name="표지" sheetId="16" r:id="rId1"/>
    <sheet name="원가계산서" sheetId="15" r:id="rId2"/>
    <sheet name="공종리스트" sheetId="11" r:id="rId3"/>
    <sheet name="내역서" sheetId="10" r:id="rId4"/>
    <sheet name="일위표지" sheetId="17" r:id="rId5"/>
    <sheet name="일위대가목록" sheetId="9" r:id="rId6"/>
    <sheet name="일위대가표" sheetId="8" r:id="rId7"/>
    <sheet name="단가표지" sheetId="18" r:id="rId8"/>
    <sheet name="단가대비표" sheetId="7" r:id="rId9"/>
    <sheet name="단가산출서목록" sheetId="6" r:id="rId10"/>
    <sheet name="단가산출서" sheetId="5" r:id="rId11"/>
    <sheet name="중기경비목록" sheetId="4" r:id="rId12"/>
    <sheet name="중기경비" sheetId="3" r:id="rId13"/>
    <sheet name="산출표지" sheetId="19" r:id="rId14"/>
    <sheet name="집계표" sheetId="13" r:id="rId15"/>
    <sheet name="산출서" sheetId="14" r:id="rId16"/>
    <sheet name="공량산출서" sheetId="2" r:id="rId17"/>
  </sheets>
  <externalReferences>
    <externalReference r:id="rId18"/>
    <externalReference r:id="rId19"/>
  </externalReferences>
  <definedNames>
    <definedName name="__123Graph_A" hidden="1">#REF!</definedName>
    <definedName name="__123Graph_X" hidden="1">#REF!</definedName>
    <definedName name="_131" hidden="1">#REF!</definedName>
    <definedName name="_Fill" hidden="1">[1]날개벽수량표!#REF!</definedName>
    <definedName name="_xlnm._FilterDatabase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Sort" hidden="1">#REF!</definedName>
    <definedName name="A1C1" hidden="1">#REF!</definedName>
    <definedName name="AAAAA" hidden="1">#REF!</definedName>
    <definedName name="AAAAAA" hidden="1">#REF!</definedName>
    <definedName name="AccessDatabase" hidden="1">"E:\WORK\VISUAL\MIRAE\LOADSYS\LoadDB.mdb"</definedName>
    <definedName name="ONP" hidden="1">#REF!</definedName>
    <definedName name="P" hidden="1">#REF!</definedName>
    <definedName name="_xlnm.Print_Area" localSheetId="16">공량산출서!$A$1:$M$25</definedName>
    <definedName name="_xlnm.Print_Area" localSheetId="2">공종리스트!$A$1:$L$24</definedName>
    <definedName name="_xlnm.Print_Area" localSheetId="3">내역서!$A$1:$L$64</definedName>
    <definedName name="_xlnm.Print_Area" localSheetId="8">단가대비표!$A$1:$L$64</definedName>
    <definedName name="_xlnm.Print_Area" localSheetId="10">단가산출서!$A$1:$F$244</definedName>
    <definedName name="_xlnm.Print_Area" localSheetId="9">단가산출서목록!$A$1:$N$24</definedName>
    <definedName name="_xlnm.Print_Area" localSheetId="7">단가표지!$A$1:$K$15</definedName>
    <definedName name="_xlnm.Print_Area" localSheetId="13">산출표지!$A$1:$K$15</definedName>
    <definedName name="_xlnm.Print_Area" localSheetId="1">원가계산서!$A$1:$F$29</definedName>
    <definedName name="_xlnm.Print_Area" localSheetId="5">일위대가목록!$A$1:$M$24</definedName>
    <definedName name="_xlnm.Print_Area" localSheetId="6">일위대가표!$A$1:$L$64</definedName>
    <definedName name="_xlnm.Print_Area" localSheetId="4">일위표지!$A$1:$K$15</definedName>
    <definedName name="_xlnm.Print_Area" localSheetId="12">중기경비!$A$1:$M$324</definedName>
    <definedName name="_xlnm.Print_Area" localSheetId="11">중기경비목록!$A$1:$N$24</definedName>
    <definedName name="_xlnm.Print_Area" localSheetId="0">표지!$A$1:$K$13</definedName>
    <definedName name="_xlnm.Print_Titles" localSheetId="16">공량산출서!$1:$5</definedName>
    <definedName name="_xlnm.Print_Titles" localSheetId="2">공종리스트!$1:$4</definedName>
    <definedName name="_xlnm.Print_Titles" localSheetId="3">내역서!$1:$4</definedName>
    <definedName name="_xlnm.Print_Titles" localSheetId="8">단가대비표!$1:$4</definedName>
    <definedName name="_xlnm.Print_Titles" localSheetId="10">단가산출서!$1:$4</definedName>
    <definedName name="_xlnm.Print_Titles" localSheetId="9">단가산출서목록!$1:$4</definedName>
    <definedName name="_xlnm.Print_Titles" localSheetId="1">원가계산서!$1:$4</definedName>
    <definedName name="_xlnm.Print_Titles" localSheetId="5">일위대가목록!$1:$4</definedName>
    <definedName name="_xlnm.Print_Titles" localSheetId="6">일위대가표!$1:$4</definedName>
    <definedName name="_xlnm.Print_Titles" localSheetId="12">중기경비!$1:$4</definedName>
    <definedName name="_xlnm.Print_Titles" localSheetId="11">중기경비목록!$1:$4</definedName>
    <definedName name="_xlnm.Print_Titles" localSheetId="14">집계표!$1:$1</definedName>
    <definedName name="SORT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공장동" hidden="1">#REF!</definedName>
    <definedName name="ㄷㄷ" hidden="1">#REF!</definedName>
    <definedName name="단가대" hidden="1">#REF!</definedName>
    <definedName name="ㅁㅁㅁ" hidden="1">#REF!</definedName>
    <definedName name="실내기">#REF!</definedName>
    <definedName name="ㅇㄹㄹ" hidden="1">#REF!</definedName>
    <definedName name="ㅇㅇㄹ" hidden="1">#REF!</definedName>
    <definedName name="여건22" hidden="1">[2]Total!#REF!</definedName>
    <definedName name="토적표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9" l="1"/>
  <c r="A11" i="19"/>
  <c r="A3" i="19"/>
  <c r="A14" i="18"/>
  <c r="A11" i="18"/>
  <c r="A3" i="18"/>
  <c r="A14" i="17"/>
  <c r="A11" i="17"/>
  <c r="A3" i="17"/>
  <c r="D25" i="15"/>
  <c r="D24" i="15"/>
  <c r="I21" i="15"/>
  <c r="D20" i="15"/>
  <c r="D19" i="15"/>
  <c r="D18" i="15"/>
  <c r="D17" i="15"/>
  <c r="D16" i="15"/>
  <c r="D15" i="15"/>
  <c r="D14" i="15"/>
  <c r="D13" i="15"/>
  <c r="D12" i="15"/>
  <c r="D9" i="15"/>
  <c r="E8" i="11" l="1"/>
  <c r="F8" i="11" s="1"/>
  <c r="G8" i="11"/>
  <c r="H8" i="11" s="1"/>
  <c r="J8" i="11"/>
  <c r="S8" i="11"/>
  <c r="T8" i="11"/>
  <c r="Y8" i="11"/>
  <c r="AR8" i="11"/>
  <c r="AU8" i="11"/>
  <c r="AU5" i="11"/>
  <c r="F64" i="10"/>
  <c r="H64" i="10"/>
  <c r="J64" i="10"/>
  <c r="R64" i="10"/>
  <c r="R8" i="11" s="1"/>
  <c r="S64" i="10"/>
  <c r="T64" i="10"/>
  <c r="W64" i="10"/>
  <c r="W8" i="11" s="1"/>
  <c r="X64" i="10"/>
  <c r="X8" i="11" s="1"/>
  <c r="Y64" i="10"/>
  <c r="Z64" i="10"/>
  <c r="Z8" i="11" s="1"/>
  <c r="AF64" i="10"/>
  <c r="AF8" i="11" s="1"/>
  <c r="AH64" i="10"/>
  <c r="AH8" i="11" s="1"/>
  <c r="AI64" i="10"/>
  <c r="AI8" i="11" s="1"/>
  <c r="AM64" i="10"/>
  <c r="AM8" i="11" s="1"/>
  <c r="AN64" i="10"/>
  <c r="AN8" i="11" s="1"/>
  <c r="AO64" i="10"/>
  <c r="AO8" i="11" s="1"/>
  <c r="AP64" i="10"/>
  <c r="AP8" i="11" s="1"/>
  <c r="AR64" i="10"/>
  <c r="AU64" i="10"/>
  <c r="AV64" i="10"/>
  <c r="AW64" i="10"/>
  <c r="AX64" i="10"/>
  <c r="F48" i="10"/>
  <c r="N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F47" i="10"/>
  <c r="N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B64" i="10" s="1"/>
  <c r="AB8" i="11" s="1"/>
  <c r="AC47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F46" i="10"/>
  <c r="N46" i="10"/>
  <c r="Q46" i="10"/>
  <c r="Q64" i="10" s="1"/>
  <c r="Q8" i="11" s="1"/>
  <c r="R46" i="10"/>
  <c r="S46" i="10"/>
  <c r="T46" i="10"/>
  <c r="U46" i="10"/>
  <c r="U64" i="10" s="1"/>
  <c r="U8" i="11" s="1"/>
  <c r="V46" i="10"/>
  <c r="V64" i="10" s="1"/>
  <c r="V8" i="11" s="1"/>
  <c r="W46" i="10"/>
  <c r="X46" i="10"/>
  <c r="Y46" i="10"/>
  <c r="Z46" i="10"/>
  <c r="AA46" i="10"/>
  <c r="AA64" i="10" s="1"/>
  <c r="AA8" i="11" s="1"/>
  <c r="AB46" i="10"/>
  <c r="AC46" i="10"/>
  <c r="AC64" i="10" s="1"/>
  <c r="AC8" i="11" s="1"/>
  <c r="AD46" i="10"/>
  <c r="AD64" i="10" s="1"/>
  <c r="AD8" i="11" s="1"/>
  <c r="AE46" i="10"/>
  <c r="AE64" i="10" s="1"/>
  <c r="AE8" i="11" s="1"/>
  <c r="AF46" i="10"/>
  <c r="AG46" i="10"/>
  <c r="AG64" i="10" s="1"/>
  <c r="AG8" i="11" s="1"/>
  <c r="AH46" i="10"/>
  <c r="AI46" i="10"/>
  <c r="AJ46" i="10"/>
  <c r="AJ64" i="10" s="1"/>
  <c r="AJ8" i="11" s="1"/>
  <c r="AK46" i="10"/>
  <c r="AK64" i="10" s="1"/>
  <c r="AK8" i="11" s="1"/>
  <c r="AL46" i="10"/>
  <c r="AL64" i="10" s="1"/>
  <c r="AL8" i="11" s="1"/>
  <c r="AM46" i="10"/>
  <c r="AN46" i="10"/>
  <c r="AO46" i="10"/>
  <c r="AP46" i="10"/>
  <c r="AQ46" i="10"/>
  <c r="AQ64" i="10" s="1"/>
  <c r="AQ8" i="11" s="1"/>
  <c r="AR46" i="10"/>
  <c r="AS46" i="10"/>
  <c r="AS64" i="10" s="1"/>
  <c r="AS8" i="11" s="1"/>
  <c r="AT46" i="10"/>
  <c r="AT64" i="10" s="1"/>
  <c r="AT8" i="11" s="1"/>
  <c r="AU44" i="10"/>
  <c r="AV44" i="10"/>
  <c r="AW44" i="10"/>
  <c r="AX44" i="10"/>
  <c r="B42" i="10"/>
  <c r="N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S42" i="10"/>
  <c r="AT42" i="10"/>
  <c r="N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N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K39" i="10"/>
  <c r="N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K38" i="10"/>
  <c r="N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K37" i="10"/>
  <c r="N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K36" i="10"/>
  <c r="N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T36" i="10"/>
  <c r="N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K34" i="10"/>
  <c r="N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N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K32" i="10"/>
  <c r="N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K31" i="10"/>
  <c r="N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D30" i="10"/>
  <c r="N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AT30" i="10"/>
  <c r="D29" i="10"/>
  <c r="K29" i="10"/>
  <c r="Q29" i="10"/>
  <c r="N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D28" i="10"/>
  <c r="K28" i="10"/>
  <c r="N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D27" i="10"/>
  <c r="N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K26" i="10"/>
  <c r="N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K25" i="10"/>
  <c r="N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K24" i="10"/>
  <c r="N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K23" i="10"/>
  <c r="N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K22" i="10"/>
  <c r="N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K21" i="10"/>
  <c r="N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K20" i="10"/>
  <c r="N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K19" i="10"/>
  <c r="N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K18" i="10"/>
  <c r="N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N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N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K15" i="10"/>
  <c r="N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K14" i="10"/>
  <c r="N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K13" i="10"/>
  <c r="N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K12" i="10"/>
  <c r="N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N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N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B9" i="10"/>
  <c r="N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AQ9" i="10"/>
  <c r="AR9" i="10"/>
  <c r="AS9" i="10"/>
  <c r="AT9" i="10"/>
  <c r="D8" i="10"/>
  <c r="K8" i="10"/>
  <c r="N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AR8" i="10"/>
  <c r="AS8" i="10"/>
  <c r="AT8" i="10"/>
  <c r="N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AR7" i="10"/>
  <c r="AS7" i="10"/>
  <c r="AT7" i="10"/>
  <c r="N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B51" i="8"/>
  <c r="B44" i="8"/>
  <c r="K34" i="8"/>
  <c r="B20" i="8"/>
  <c r="K20" i="8"/>
  <c r="B10" i="8"/>
  <c r="K10" i="8"/>
  <c r="O242" i="5"/>
  <c r="A242" i="5" s="1"/>
  <c r="C244" i="5"/>
  <c r="N241" i="5"/>
  <c r="A241" i="5" s="1"/>
  <c r="M240" i="5"/>
  <c r="A240" i="5" s="1"/>
  <c r="D229" i="5"/>
  <c r="N227" i="5"/>
  <c r="A227" i="5" s="1"/>
  <c r="B229" i="5"/>
  <c r="M226" i="5"/>
  <c r="A226" i="5" s="1"/>
  <c r="O210" i="5"/>
  <c r="A210" i="5" s="1"/>
  <c r="N209" i="5"/>
  <c r="A209" i="5" s="1"/>
  <c r="M208" i="5"/>
  <c r="A208" i="5" s="1"/>
  <c r="L207" i="5"/>
  <c r="A206" i="5"/>
  <c r="A205" i="5"/>
  <c r="A204" i="5"/>
  <c r="A203" i="5"/>
  <c r="A202" i="5"/>
  <c r="A197" i="5"/>
  <c r="L197" i="5"/>
  <c r="O195" i="5"/>
  <c r="A195" i="5" s="1"/>
  <c r="N194" i="5"/>
  <c r="A194" i="5" s="1"/>
  <c r="M193" i="5"/>
  <c r="A193" i="5" s="1"/>
  <c r="A192" i="5"/>
  <c r="A181" i="5"/>
  <c r="A180" i="5"/>
  <c r="L179" i="5"/>
  <c r="A179" i="5" s="1"/>
  <c r="O176" i="5"/>
  <c r="A176" i="5" s="1"/>
  <c r="N175" i="5"/>
  <c r="A175" i="5" s="1"/>
  <c r="M174" i="5"/>
  <c r="A174" i="5" s="1"/>
  <c r="L173" i="5"/>
  <c r="A173" i="5" s="1"/>
  <c r="A170" i="5"/>
  <c r="L170" i="5"/>
  <c r="A169" i="5"/>
  <c r="L169" i="5"/>
  <c r="L166" i="5"/>
  <c r="A166" i="5" s="1"/>
  <c r="A165" i="5"/>
  <c r="O160" i="5"/>
  <c r="A160" i="5" s="1"/>
  <c r="N159" i="5"/>
  <c r="A159" i="5" s="1"/>
  <c r="M158" i="5"/>
  <c r="A158" i="5" s="1"/>
  <c r="L157" i="5"/>
  <c r="A157" i="5" s="1"/>
  <c r="O155" i="5"/>
  <c r="A155" i="5" s="1"/>
  <c r="N154" i="5"/>
  <c r="A154" i="5" s="1"/>
  <c r="M153" i="5"/>
  <c r="A153" i="5" s="1"/>
  <c r="L152" i="5"/>
  <c r="A152" i="5" s="1"/>
  <c r="A149" i="5"/>
  <c r="L149" i="5"/>
  <c r="A148" i="5"/>
  <c r="L148" i="5"/>
  <c r="A147" i="5"/>
  <c r="L147" i="5"/>
  <c r="A146" i="5"/>
  <c r="O141" i="5"/>
  <c r="A141" i="5" s="1"/>
  <c r="M140" i="5"/>
  <c r="A140" i="5" s="1"/>
  <c r="L139" i="5"/>
  <c r="A139" i="5" s="1"/>
  <c r="O137" i="5"/>
  <c r="A137" i="5" s="1"/>
  <c r="N136" i="5"/>
  <c r="A136" i="5" s="1"/>
  <c r="M135" i="5"/>
  <c r="A135" i="5" s="1"/>
  <c r="L134" i="5"/>
  <c r="A134" i="5" s="1"/>
  <c r="A132" i="5"/>
  <c r="L132" i="5"/>
  <c r="A131" i="5"/>
  <c r="L131" i="5"/>
  <c r="A130" i="5"/>
  <c r="O125" i="5"/>
  <c r="A125" i="5" s="1"/>
  <c r="N124" i="5"/>
  <c r="A124" i="5" s="1"/>
  <c r="M123" i="5"/>
  <c r="A123" i="5" s="1"/>
  <c r="L122" i="5"/>
  <c r="A122" i="5" s="1"/>
  <c r="A120" i="5"/>
  <c r="L120" i="5"/>
  <c r="A119" i="5"/>
  <c r="L119" i="5"/>
  <c r="A118" i="5"/>
  <c r="O113" i="5"/>
  <c r="A113" i="5" s="1"/>
  <c r="N112" i="5"/>
  <c r="A112" i="5" s="1"/>
  <c r="M111" i="5"/>
  <c r="A111" i="5" s="1"/>
  <c r="L110" i="5"/>
  <c r="A110" i="5" s="1"/>
  <c r="A109" i="5"/>
  <c r="A108" i="5"/>
  <c r="A107" i="5"/>
  <c r="A106" i="5"/>
  <c r="A105" i="5"/>
  <c r="A102" i="5"/>
  <c r="A100" i="5"/>
  <c r="L100" i="5"/>
  <c r="O98" i="5"/>
  <c r="A98" i="5" s="1"/>
  <c r="N97" i="5"/>
  <c r="A97" i="5" s="1"/>
  <c r="M96" i="5"/>
  <c r="A96" i="5" s="1"/>
  <c r="A95" i="5"/>
  <c r="O88" i="5"/>
  <c r="A88" i="5" s="1"/>
  <c r="N87" i="5"/>
  <c r="A87" i="5" s="1"/>
  <c r="M86" i="5"/>
  <c r="A86" i="5" s="1"/>
  <c r="L85" i="5"/>
  <c r="A85" i="5" s="1"/>
  <c r="A84" i="5"/>
  <c r="A83" i="5"/>
  <c r="A82" i="5"/>
  <c r="A81" i="5"/>
  <c r="A80" i="5"/>
  <c r="A76" i="5"/>
  <c r="A73" i="5"/>
  <c r="L73" i="5"/>
  <c r="O70" i="5"/>
  <c r="A70" i="5" s="1"/>
  <c r="N69" i="5"/>
  <c r="A69" i="5" s="1"/>
  <c r="M68" i="5"/>
  <c r="A68" i="5" s="1"/>
  <c r="A67" i="5"/>
  <c r="A60" i="5"/>
  <c r="O57" i="5"/>
  <c r="A57" i="5" s="1"/>
  <c r="N56" i="5"/>
  <c r="A56" i="5" s="1"/>
  <c r="M55" i="5"/>
  <c r="A55" i="5" s="1"/>
  <c r="A53" i="5"/>
  <c r="A52" i="5"/>
  <c r="A51" i="5"/>
  <c r="L50" i="5"/>
  <c r="A50" i="5" s="1"/>
  <c r="A49" i="5"/>
  <c r="A48" i="5"/>
  <c r="A41" i="5"/>
  <c r="O38" i="5"/>
  <c r="A38" i="5" s="1"/>
  <c r="N37" i="5"/>
  <c r="A37" i="5" s="1"/>
  <c r="M36" i="5"/>
  <c r="A36" i="5" s="1"/>
  <c r="L35" i="5"/>
  <c r="A35" i="5" s="1"/>
  <c r="A34" i="5"/>
  <c r="A33" i="5"/>
  <c r="A32" i="5"/>
  <c r="A31" i="5"/>
  <c r="A30" i="5"/>
  <c r="A29" i="5"/>
  <c r="A22" i="5"/>
  <c r="O19" i="5"/>
  <c r="A19" i="5" s="1"/>
  <c r="N18" i="5"/>
  <c r="A18" i="5" s="1"/>
  <c r="M17" i="5"/>
  <c r="A17" i="5" s="1"/>
  <c r="L16" i="5"/>
  <c r="A16" i="5" s="1"/>
  <c r="A15" i="5"/>
  <c r="A14" i="5"/>
  <c r="A13" i="5"/>
  <c r="A12" i="5"/>
  <c r="A11" i="5"/>
  <c r="B296" i="3"/>
  <c r="F301" i="3"/>
  <c r="F291" i="3"/>
  <c r="H291" i="3"/>
  <c r="J291" i="3"/>
  <c r="K291" i="3"/>
  <c r="L291" i="3"/>
  <c r="B266" i="3"/>
  <c r="J271" i="3"/>
  <c r="F261" i="3"/>
  <c r="H261" i="3"/>
  <c r="J261" i="3"/>
  <c r="K261" i="3"/>
  <c r="L261" i="3"/>
  <c r="H242" i="3"/>
  <c r="B237" i="3"/>
  <c r="F232" i="3"/>
  <c r="H232" i="3"/>
  <c r="J232" i="3"/>
  <c r="K232" i="3"/>
  <c r="L232" i="3"/>
  <c r="H207" i="3"/>
  <c r="B202" i="3"/>
  <c r="F207" i="3"/>
  <c r="J207" i="3"/>
  <c r="F197" i="3"/>
  <c r="H197" i="3"/>
  <c r="J197" i="3"/>
  <c r="K197" i="3"/>
  <c r="L197" i="3"/>
  <c r="B170" i="3"/>
  <c r="F175" i="3"/>
  <c r="F165" i="3"/>
  <c r="H165" i="3"/>
  <c r="J165" i="3"/>
  <c r="K165" i="3"/>
  <c r="L165" i="3"/>
  <c r="H139" i="3"/>
  <c r="B137" i="3"/>
  <c r="J139" i="3"/>
  <c r="F132" i="3"/>
  <c r="H132" i="3"/>
  <c r="J132" i="3"/>
  <c r="K132" i="3"/>
  <c r="L132" i="3"/>
  <c r="H119" i="3"/>
  <c r="B114" i="3"/>
  <c r="F108" i="3"/>
  <c r="H108" i="3"/>
  <c r="J108" i="3"/>
  <c r="K108" i="3"/>
  <c r="L108" i="3"/>
  <c r="H74" i="3"/>
  <c r="B69" i="3"/>
  <c r="F64" i="3"/>
  <c r="H64" i="3"/>
  <c r="J64" i="3"/>
  <c r="K64" i="3"/>
  <c r="L64" i="3"/>
  <c r="B25" i="3"/>
  <c r="F20" i="3"/>
  <c r="H20" i="3"/>
  <c r="J20" i="3"/>
  <c r="K20" i="3"/>
  <c r="L20" i="3"/>
  <c r="B12" i="3"/>
  <c r="F6" i="3"/>
  <c r="L6" i="3" s="1"/>
  <c r="H6" i="3"/>
  <c r="J6" i="3"/>
  <c r="K6" i="3"/>
  <c r="H24" i="2"/>
  <c r="H25" i="2" s="1"/>
  <c r="D41" i="10" s="1"/>
  <c r="D7" i="10"/>
  <c r="G24" i="2"/>
  <c r="G25" i="2" s="1"/>
  <c r="D40" i="10" s="1"/>
  <c r="D6" i="10"/>
  <c r="K64" i="10" l="1"/>
  <c r="H7" i="10"/>
  <c r="J7" i="10"/>
  <c r="Q7" i="10" s="1"/>
  <c r="Q41" i="10"/>
  <c r="AP44" i="10"/>
  <c r="AP5" i="11" s="1"/>
  <c r="Z44" i="10"/>
  <c r="Z5" i="11" s="1"/>
  <c r="K30" i="10"/>
  <c r="K27" i="10"/>
  <c r="Y44" i="10"/>
  <c r="Y5" i="11" s="1"/>
  <c r="K42" i="10"/>
  <c r="J6" i="10"/>
  <c r="Q6" i="10" s="1"/>
  <c r="H6" i="10"/>
  <c r="K6" i="10" s="1"/>
  <c r="Q40" i="10"/>
  <c r="D244" i="5"/>
  <c r="C182" i="5"/>
  <c r="C229" i="5"/>
  <c r="E229" i="5" s="1"/>
  <c r="A207" i="5"/>
  <c r="D182" i="5"/>
  <c r="D212" i="5"/>
  <c r="D115" i="5"/>
  <c r="C115" i="5"/>
  <c r="B244" i="5"/>
  <c r="L54" i="5"/>
  <c r="AO44" i="10"/>
  <c r="AO5" i="11" s="1"/>
  <c r="H23" i="8"/>
  <c r="J23" i="8"/>
  <c r="Q11" i="10" s="1"/>
  <c r="H61" i="8"/>
  <c r="K44" i="8"/>
  <c r="K43" i="8"/>
  <c r="K42" i="8"/>
  <c r="V44" i="10"/>
  <c r="V5" i="11" s="1"/>
  <c r="K18" i="8"/>
  <c r="AK44" i="10"/>
  <c r="AK5" i="11" s="1"/>
  <c r="U44" i="10"/>
  <c r="U5" i="11" s="1"/>
  <c r="K22" i="8"/>
  <c r="X44" i="10"/>
  <c r="X5" i="11" s="1"/>
  <c r="W44" i="10"/>
  <c r="W5" i="11" s="1"/>
  <c r="AL44" i="10"/>
  <c r="AL5" i="11" s="1"/>
  <c r="AF44" i="10"/>
  <c r="AF5" i="11" s="1"/>
  <c r="AE44" i="10"/>
  <c r="AE5" i="11" s="1"/>
  <c r="AT44" i="10"/>
  <c r="AT5" i="11" s="1"/>
  <c r="AD44" i="10"/>
  <c r="AD5" i="11" s="1"/>
  <c r="AJ44" i="10"/>
  <c r="AJ5" i="11" s="1"/>
  <c r="T44" i="10"/>
  <c r="T5" i="11" s="1"/>
  <c r="S44" i="10"/>
  <c r="S5" i="11" s="1"/>
  <c r="AM44" i="10"/>
  <c r="AM5" i="11" s="1"/>
  <c r="K17" i="8"/>
  <c r="AS44" i="10"/>
  <c r="AS5" i="11" s="1"/>
  <c r="K12" i="8"/>
  <c r="AH44" i="10"/>
  <c r="AH5" i="11" s="1"/>
  <c r="K37" i="8"/>
  <c r="K48" i="8"/>
  <c r="AG44" i="10"/>
  <c r="AG5" i="11" s="1"/>
  <c r="H45" i="8"/>
  <c r="K41" i="8"/>
  <c r="J52" i="8"/>
  <c r="Q17" i="10" s="1"/>
  <c r="AC44" i="10"/>
  <c r="AC5" i="11" s="1"/>
  <c r="AI44" i="10"/>
  <c r="AI5" i="11" s="1"/>
  <c r="K21" i="8"/>
  <c r="J13" i="8"/>
  <c r="J38" i="8"/>
  <c r="J30" i="8" s="1"/>
  <c r="Q33" i="10" s="1"/>
  <c r="AR44" i="10"/>
  <c r="AR5" i="11" s="1"/>
  <c r="AB44" i="10"/>
  <c r="AB5" i="11" s="1"/>
  <c r="AN44" i="10"/>
  <c r="AN5" i="11" s="1"/>
  <c r="R44" i="10"/>
  <c r="R5" i="11" s="1"/>
  <c r="H38" i="8"/>
  <c r="H30" i="8" s="1"/>
  <c r="J45" i="8"/>
  <c r="Q16" i="10" s="1"/>
  <c r="AQ44" i="10"/>
  <c r="AQ5" i="11" s="1"/>
  <c r="AA44" i="10"/>
  <c r="AA5" i="11" s="1"/>
  <c r="K51" i="8"/>
  <c r="K50" i="8"/>
  <c r="F61" i="8"/>
  <c r="K36" i="8"/>
  <c r="H13" i="8"/>
  <c r="H52" i="8"/>
  <c r="J61" i="8"/>
  <c r="Q35" i="10" s="1"/>
  <c r="K11" i="8"/>
  <c r="Q10" i="10"/>
  <c r="K8" i="8"/>
  <c r="K33" i="8"/>
  <c r="K19" i="8"/>
  <c r="F23" i="8"/>
  <c r="K16" i="8"/>
  <c r="F38" i="8"/>
  <c r="K7" i="8"/>
  <c r="K49" i="8"/>
  <c r="F13" i="8"/>
  <c r="K35" i="8"/>
  <c r="K26" i="8"/>
  <c r="K9" i="8"/>
  <c r="F45" i="8"/>
  <c r="K6" i="8"/>
  <c r="K27" i="8"/>
  <c r="K29" i="8"/>
  <c r="K8" i="11"/>
  <c r="J301" i="3"/>
  <c r="J242" i="3"/>
  <c r="J175" i="3"/>
  <c r="J119" i="3"/>
  <c r="J74" i="3"/>
  <c r="J17" i="3"/>
  <c r="J30" i="3"/>
  <c r="H271" i="3"/>
  <c r="H301" i="3"/>
  <c r="H175" i="3"/>
  <c r="H17" i="3"/>
  <c r="H30" i="3"/>
  <c r="F271" i="3"/>
  <c r="L207" i="3"/>
  <c r="F74" i="3"/>
  <c r="F17" i="3"/>
  <c r="K7" i="10" l="1"/>
  <c r="K41" i="10"/>
  <c r="K40" i="10"/>
  <c r="B24" i="5"/>
  <c r="B90" i="5"/>
  <c r="E244" i="5"/>
  <c r="C143" i="5"/>
  <c r="B183" i="5"/>
  <c r="C24" i="5"/>
  <c r="D90" i="5"/>
  <c r="C161" i="5"/>
  <c r="D183" i="5"/>
  <c r="C90" i="5"/>
  <c r="C212" i="5"/>
  <c r="C183" i="5"/>
  <c r="D24" i="5"/>
  <c r="B212" i="5"/>
  <c r="C43" i="5"/>
  <c r="D161" i="5"/>
  <c r="D162" i="5"/>
  <c r="B162" i="5"/>
  <c r="D143" i="5"/>
  <c r="B115" i="5"/>
  <c r="E115" i="5" s="1"/>
  <c r="A54" i="5"/>
  <c r="D43" i="5"/>
  <c r="B43" i="5"/>
  <c r="B161" i="5"/>
  <c r="C162" i="5"/>
  <c r="E182" i="5"/>
  <c r="C127" i="5"/>
  <c r="B127" i="5"/>
  <c r="B143" i="5"/>
  <c r="D127" i="5"/>
  <c r="F52" i="8"/>
  <c r="J44" i="10"/>
  <c r="J5" i="11" s="1"/>
  <c r="J6" i="11" s="1"/>
  <c r="I11" i="15" s="1"/>
  <c r="Q44" i="10"/>
  <c r="Q5" i="11" s="1"/>
  <c r="H44" i="10"/>
  <c r="H6" i="11" s="1"/>
  <c r="E15" i="15" s="1"/>
  <c r="I15" i="15" s="1"/>
  <c r="K45" i="8"/>
  <c r="K52" i="8"/>
  <c r="K61" i="8"/>
  <c r="K23" i="8"/>
  <c r="K9" i="10"/>
  <c r="K13" i="8"/>
  <c r="K38" i="8"/>
  <c r="L301" i="3"/>
  <c r="L175" i="3"/>
  <c r="L271" i="3"/>
  <c r="F139" i="3"/>
  <c r="L17" i="3"/>
  <c r="F119" i="3"/>
  <c r="F242" i="3"/>
  <c r="L74" i="3"/>
  <c r="F30" i="3"/>
  <c r="E24" i="5" l="1"/>
  <c r="E90" i="5"/>
  <c r="E43" i="5"/>
  <c r="E161" i="5"/>
  <c r="E212" i="5"/>
  <c r="E183" i="5"/>
  <c r="C62" i="5"/>
  <c r="D62" i="5"/>
  <c r="E162" i="5"/>
  <c r="E143" i="5"/>
  <c r="E127" i="5"/>
  <c r="B62" i="5"/>
  <c r="E9" i="15"/>
  <c r="I9" i="15" s="1"/>
  <c r="I8" i="15"/>
  <c r="E14" i="15"/>
  <c r="E16" i="15" s="1"/>
  <c r="I16" i="15" s="1"/>
  <c r="E17" i="15"/>
  <c r="I17" i="15" s="1"/>
  <c r="K11" i="10"/>
  <c r="K35" i="10"/>
  <c r="K17" i="10"/>
  <c r="K16" i="10"/>
  <c r="E10" i="15"/>
  <c r="E12" i="15" s="1"/>
  <c r="L139" i="3"/>
  <c r="L30" i="3"/>
  <c r="L242" i="3"/>
  <c r="L119" i="3"/>
  <c r="E62" i="5" l="1"/>
  <c r="I14" i="15"/>
  <c r="E13" i="15"/>
  <c r="I13" i="15" s="1"/>
  <c r="I10" i="15"/>
  <c r="F30" i="8"/>
  <c r="K28" i="8"/>
  <c r="K10" i="10"/>
  <c r="I12" i="15"/>
  <c r="K30" i="8" l="1"/>
  <c r="K33" i="10" l="1"/>
  <c r="F44" i="10"/>
  <c r="K44" i="10" l="1"/>
  <c r="F6" i="11" l="1"/>
  <c r="K5" i="11"/>
  <c r="K6" i="11" l="1"/>
  <c r="E6" i="15" l="1"/>
  <c r="I6" i="15" s="1"/>
  <c r="I5" i="15"/>
  <c r="E7" i="15"/>
  <c r="E20" i="15" l="1"/>
  <c r="I20" i="15" s="1"/>
  <c r="E18" i="15"/>
  <c r="I7" i="15"/>
  <c r="E19" i="15"/>
  <c r="I19" i="15" s="1"/>
  <c r="I18" i="15" l="1"/>
  <c r="E22" i="15"/>
  <c r="I22" i="15" l="1"/>
  <c r="E24" i="15"/>
  <c r="I24" i="15" s="1"/>
  <c r="E23" i="15"/>
  <c r="E25" i="15" l="1"/>
  <c r="I26" i="15" s="1"/>
  <c r="I25" i="15"/>
  <c r="I23" i="15"/>
  <c r="E27" i="15" l="1"/>
  <c r="E31" i="15" s="1"/>
  <c r="E29" i="15" s="1"/>
  <c r="I27" i="15"/>
  <c r="I28" i="15" s="1"/>
  <c r="I29" i="15" s="1"/>
</calcChain>
</file>

<file path=xl/sharedStrings.xml><?xml version="1.0" encoding="utf-8"?>
<sst xmlns="http://schemas.openxmlformats.org/spreadsheetml/2006/main" count="2157" uniqueCount="587">
  <si>
    <t>01</t>
  </si>
  <si>
    <t>식</t>
  </si>
  <si>
    <t>0101</t>
  </si>
  <si>
    <t>0102</t>
  </si>
  <si>
    <t>폐기물처리비</t>
  </si>
  <si>
    <t>공 량 산 출 서</t>
  </si>
  <si>
    <t>공사명 : 삼성라이온즈볼파크 옥외급수시설 개선 기계설비공사</t>
  </si>
  <si>
    <t>품    명</t>
  </si>
  <si>
    <t>규    격</t>
  </si>
  <si>
    <t>단위</t>
  </si>
  <si>
    <t>수 량</t>
  </si>
  <si>
    <t>적용%</t>
  </si>
  <si>
    <t xml:space="preserve"> 적    용  
자재수량</t>
  </si>
  <si>
    <t>공      량</t>
  </si>
  <si>
    <t>비고</t>
  </si>
  <si>
    <t>품셈목록</t>
  </si>
  <si>
    <t>인부</t>
  </si>
  <si>
    <t>자재원수량</t>
  </si>
  <si>
    <t>자재</t>
  </si>
  <si>
    <t>1. 옥외 배관 공사</t>
  </si>
  <si>
    <t>배관공</t>
  </si>
  <si>
    <t>보통인부</t>
  </si>
  <si>
    <t>스테인레스강관(3.0T)</t>
  </si>
  <si>
    <t>M</t>
  </si>
  <si>
    <t>스테인레스강관(3.0T) [옥외배관(암거내)]</t>
  </si>
  <si>
    <t>수도용 보온용 볼밸브(스테인레스,10Kg)</t>
  </si>
  <si>
    <t>D20</t>
  </si>
  <si>
    <t>EA</t>
  </si>
  <si>
    <t>버터플라이밸브(STS)</t>
  </si>
  <si>
    <t>부동급수전(STS)</t>
  </si>
  <si>
    <t>20×1650</t>
  </si>
  <si>
    <t>합  계</t>
  </si>
  <si>
    <t>중    기    경    비</t>
  </si>
  <si>
    <t>품          명</t>
  </si>
  <si>
    <t>규          격</t>
  </si>
  <si>
    <t>수  량</t>
  </si>
  <si>
    <t>재   료   비</t>
  </si>
  <si>
    <t>노   무   비</t>
  </si>
  <si>
    <t>경        비</t>
  </si>
  <si>
    <t>합        계</t>
  </si>
  <si>
    <t>비  고</t>
  </si>
  <si>
    <t>단  가</t>
  </si>
  <si>
    <t>금   액</t>
  </si>
  <si>
    <t>손료요율</t>
  </si>
  <si>
    <t>손료구분</t>
  </si>
  <si>
    <t>적용구분</t>
  </si>
  <si>
    <t>합계구분</t>
  </si>
  <si>
    <t>품목구분</t>
  </si>
  <si>
    <t>조달코드</t>
  </si>
  <si>
    <t>구분</t>
  </si>
  <si>
    <t>[중기  5호] - [굴삭기(무한궤도)  0.7M3+브레이카  HR]</t>
  </si>
  <si>
    <t>공통8-4-1, 8-3-1</t>
  </si>
  <si>
    <t>[경  비]</t>
  </si>
  <si>
    <t/>
  </si>
  <si>
    <t>굴착기(무한궤도)</t>
  </si>
  <si>
    <t>0.7 ㎥</t>
  </si>
  <si>
    <t>대</t>
  </si>
  <si>
    <t>공통8-5-1(0201)25'개정</t>
  </si>
  <si>
    <t>03</t>
  </si>
  <si>
    <t>기계경비</t>
  </si>
  <si>
    <t>대형 브레이카</t>
  </si>
  <si>
    <t>0.7 ㎥용</t>
  </si>
  <si>
    <t>공통8-5-1(0230)</t>
  </si>
  <si>
    <t>소  계</t>
  </si>
  <si>
    <t>[재료비]</t>
  </si>
  <si>
    <t>경유</t>
  </si>
  <si>
    <t>경유, 저유황</t>
  </si>
  <si>
    <t>L</t>
  </si>
  <si>
    <t>잡품</t>
  </si>
  <si>
    <t>20</t>
  </si>
  <si>
    <t>A0100000000</t>
  </si>
  <si>
    <t>재료비</t>
  </si>
  <si>
    <t>[노무비]</t>
  </si>
  <si>
    <t>노무비</t>
  </si>
  <si>
    <t>건설기계운전사</t>
  </si>
  <si>
    <t>인</t>
  </si>
  <si>
    <t>02</t>
  </si>
  <si>
    <t>[중기  6호] - [굴착기(무한궤도)  1.0㎥  HR]</t>
  </si>
  <si>
    <t>공통8-4-1,8-3-1(0201)</t>
  </si>
  <si>
    <t>8-3 기계손료</t>
  </si>
  <si>
    <t>(0201) 굴착기(무한궤도)</t>
  </si>
  <si>
    <t xml:space="preserve">							시 간 당(10-7)				</t>
  </si>
  <si>
    <t xml:space="preserve">분류	규격	내용	연간표준	상각	정비	연간관리	상각비	정비비	관리비	계	</t>
  </si>
  <si>
    <t xml:space="preserve">번호	(㎥)	시간	가동시간	비율	비율	비율	계수	계수	계수		</t>
  </si>
  <si>
    <t xml:space="preserve">0201-0100	1	10,000	1,250	0.9	0.7	0.1	900	700	485	2,085	</t>
  </si>
  <si>
    <t>8-4 운전경비 산정</t>
  </si>
  <si>
    <t xml:space="preserve">			주연료	잡재료	조종원	</t>
  </si>
  <si>
    <t xml:space="preserve">분류번호	기계명	규격	(ℓ/hr)	(주연료의%)	(인/일)	</t>
  </si>
  <si>
    <t xml:space="preserve">0201-0100	굴착기(무한궤도)	1	19.5	22	1	</t>
  </si>
  <si>
    <t>8-5 기계가격</t>
  </si>
  <si>
    <t>0201-0100    굴착기(무한궤도)   1.0 (㎥)</t>
  </si>
  <si>
    <t>8-1-7 손료보정 등</t>
  </si>
  <si>
    <t>1. 기계손료의 보정</t>
  </si>
  <si>
    <t>다음 건설기계가 암석굴착, 암석적재, 암석운반 등의 가혹한 작업에 사용되는 경우에는</t>
  </si>
  <si>
    <t xml:space="preserve">손료(관리비 제외)를 다음과 같이 보정 가산할 수 있다. </t>
  </si>
  <si>
    <t>---------------------------------------------------------------------------------</t>
  </si>
  <si>
    <t>기 종                                          가산비율</t>
  </si>
  <si>
    <t xml:space="preserve">                                      암석작업(연암?보통암?경암)    전석섞인토사</t>
  </si>
  <si>
    <t xml:space="preserve">불 도 저 ( 1 9 톤 이 상 제 외 )                     25                10 </t>
  </si>
  <si>
    <t xml:space="preserve">굴삭기( 무한궤도) 및 로더( 무한궤도)                20                10 </t>
  </si>
  <si>
    <t>덤 프 트 럭                                         25                10</t>
  </si>
  <si>
    <t xml:space="preserve">[주] ① 전용덤프트럭(18톤이상)과 불도저(19톤이상)의 경우는 보정하지 않는다. </t>
  </si>
  <si>
    <t xml:space="preserve">단, 타이어 불도저, 습지 불도저는 보정할 수 있다. </t>
  </si>
  <si>
    <t>② 전석섞인 토사는 전석(0.5㎥이상)의 혼입율이 30%이상 말한다.</t>
  </si>
  <si>
    <t>[중기  7호] - [굴착기(무한궤도)  0.7㎥  HR]</t>
  </si>
  <si>
    <t>굴착기(유압식백호우)</t>
  </si>
  <si>
    <t xml:space="preserve">0201-0070	0.7	10,000	1,250	0.9	0.7	0.1	900	700	485	2,085	</t>
  </si>
  <si>
    <t xml:space="preserve">0201-0070	굴착기(무한궤도)	0.7	11.6	22	1	</t>
  </si>
  <si>
    <t>0201-0070    굴착기(무한궤도)   0.7 (㎥)</t>
  </si>
  <si>
    <t>[중기  8호] - [굴착기(유압식백호우)+브레카  0.7M3  HR]</t>
  </si>
  <si>
    <t>공통(0201+0230)</t>
  </si>
  <si>
    <t>(0201) 굴삭기(무한궤도)</t>
  </si>
  <si>
    <t>8-4-8 [70]기타기계</t>
  </si>
  <si>
    <t xml:space="preserve">[주] ⑤ 불도저와 리퍼 또는 굴삭기와 브레이커를 조합하여 사용할 때는 불도저 또는 </t>
  </si>
  <si>
    <t xml:space="preserve">굴삭기의 잡재료 비율을 16%로 계상한 후, 리퍼의 손료 또는 브레이커손료 및 치즐 </t>
  </si>
  <si>
    <t xml:space="preserve">소모율을 추가하는 것이다. </t>
  </si>
  <si>
    <t>[중기  9호] - [동력분무기  4.85kw  HR]</t>
  </si>
  <si>
    <t>공통8-4-8,8-3-8(7210)</t>
  </si>
  <si>
    <t>동력분무기</t>
  </si>
  <si>
    <t>4.85kw</t>
  </si>
  <si>
    <t>공통8-5-8(7210)</t>
  </si>
  <si>
    <t>공업용휘발유</t>
  </si>
  <si>
    <t>공업용휘발유, 무연</t>
  </si>
  <si>
    <t>8-3-8 [70]기타기계 ·</t>
  </si>
  <si>
    <t>(7210) 동력분무기</t>
  </si>
  <si>
    <t xml:space="preserve">번호	(㎾)	시간	가동시간	비율	비율	비율	계수	계수	계수		</t>
  </si>
  <si>
    <t xml:space="preserve">7210-0485	4.85	8,000	890	0.9	0.8	0.1	1,125	1,000	674	2,799	</t>
  </si>
  <si>
    <t xml:space="preserve">7210-0485	동력분무기	4.85㎾	휘발유1.3	20	-	</t>
  </si>
  <si>
    <t>8-5-8 [70]기타기계</t>
  </si>
  <si>
    <t>동력분무기        (천원)</t>
  </si>
  <si>
    <t xml:space="preserve">7210-0485	902	</t>
  </si>
  <si>
    <t>[중기 11호] - [로더(타이어)  0.57 ㎥  HR]</t>
  </si>
  <si>
    <t>공통8-4-1,8-3-1(0302)</t>
  </si>
  <si>
    <t>로더(타이어)</t>
  </si>
  <si>
    <t>0.57 ㎥</t>
  </si>
  <si>
    <t>공통8-5-1(0302)</t>
  </si>
  <si>
    <t>(0302) 로더(타이어)</t>
  </si>
  <si>
    <t xml:space="preserve">					시 간 당(10-7)				</t>
  </si>
  <si>
    <t xml:space="preserve">내용	연간표준	상각	정비	연간관리	상각비	정비비	관리비	계	</t>
  </si>
  <si>
    <t xml:space="preserve">시간	가동시간	비율	비율	비율	계수	계수	계수		</t>
  </si>
  <si>
    <t xml:space="preserve">10,000	1,250	0.9	0.7	0.1	900	700	485	2,085	</t>
  </si>
  <si>
    <t>[주] ① 규격은 버킷용량을 말한다.</t>
  </si>
  <si>
    <t>② 삽날, 타이어는 운전경비에서 별도 계상한다.</t>
  </si>
  <si>
    <t xml:space="preserve">		주연료	잡재료	조종원	</t>
  </si>
  <si>
    <t xml:space="preserve">분류번호	규격	(ℓ/hr)	(주연료의%)	(인/일)	</t>
  </si>
  <si>
    <t xml:space="preserve">0302-0057	0.57	3.5	44	1	</t>
  </si>
  <si>
    <t>로더(타이어)   0302-0057  34,714(천원)</t>
  </si>
  <si>
    <t>[중기 13호] - [물탱크(살수차)  5500L  HR]</t>
  </si>
  <si>
    <t>공통8-4-8,8-3-8(7204)</t>
  </si>
  <si>
    <t>물탱크(살수차)</t>
  </si>
  <si>
    <t>5500 L</t>
  </si>
  <si>
    <t>공통8-5-8(7204)</t>
  </si>
  <si>
    <t>화물차운전사</t>
  </si>
  <si>
    <t>(7204) 물탱크(살수차)</t>
  </si>
  <si>
    <t xml:space="preserve">11,000	890	0.9	0.7	0.1	818	636	659	2,113	</t>
  </si>
  <si>
    <t>[주] ① 트럭적재식이고 모터가 포함되어 있다.</t>
  </si>
  <si>
    <t>② 타이어는 운전경비에서 별도 계상한다.</t>
  </si>
  <si>
    <t xml:space="preserve">	주연료	잡재료	조종원	</t>
  </si>
  <si>
    <t xml:space="preserve">규격	(ℓ/hr)	(주연료의%)	(인/일)	</t>
  </si>
  <si>
    <t xml:space="preserve">5,500ℓ	9.3	30	1	</t>
  </si>
  <si>
    <t>물 탱 크 ( 살 수 차 ) 7204-0055</t>
  </si>
  <si>
    <t>[중기 19호] - [진동롤러(핸드가이드식)  0.7ton  HR]</t>
  </si>
  <si>
    <t>공통8-4-2,8-3-2(1305)</t>
  </si>
  <si>
    <t>진동롤러 (핸드가이드식)</t>
  </si>
  <si>
    <t>0.7 톤</t>
  </si>
  <si>
    <t>공통8-5-2(1305)</t>
  </si>
  <si>
    <t>일반기계운전사</t>
  </si>
  <si>
    <t>운전사(기계)</t>
  </si>
  <si>
    <t>(1305) 진동롤러(핸드가이드식)</t>
  </si>
  <si>
    <t xml:space="preserve">7,000	890	0.9	0.6	0.1	1,286	857	682	2,825	</t>
  </si>
  <si>
    <t xml:space="preserve">1305-0007	0.7ton	2.2	13	1	</t>
  </si>
  <si>
    <t>진동롤러(핸드가이드식)   (천원)</t>
  </si>
  <si>
    <t xml:space="preserve">1305-0007	6,733	</t>
  </si>
  <si>
    <t>[중기 20호] - [커터(콘크리트 및 아스팔트용)  320∼400mm  HR]</t>
  </si>
  <si>
    <t>공통8-4-5,8-3-5(4430)</t>
  </si>
  <si>
    <t>커터(콘크리트및아스팔트용)</t>
  </si>
  <si>
    <t>320-400 mm</t>
  </si>
  <si>
    <t>공통8-5-5(4430)</t>
  </si>
  <si>
    <t>(4430) 커터(콘크리트 및 아스팔트용)</t>
  </si>
  <si>
    <t xml:space="preserve">2250	670	0.9	0.3	0.1	4000	1333	1021	6354	</t>
  </si>
  <si>
    <t xml:space="preserve">4430-0400	320∼400㎜	휘발유5.6	20	1	</t>
  </si>
  <si>
    <t xml:space="preserve">커터(콘크리트 및 아스팔트용) (천원)  </t>
  </si>
  <si>
    <t xml:space="preserve">4430-0400	3,118	</t>
  </si>
  <si>
    <t>[중기 21호] - [플레이트 콤팩터  1.5ton  HR]</t>
  </si>
  <si>
    <t>공통8-4-2,8-3-2(1730)</t>
  </si>
  <si>
    <t>플레이트 콤팩터</t>
  </si>
  <si>
    <t>1.5 ton</t>
  </si>
  <si>
    <t>공통8-5-2(1730)</t>
  </si>
  <si>
    <t>(1730) 플레이트 콤팩터</t>
  </si>
  <si>
    <t xml:space="preserve">기계손료							시 간 당(10-7)				</t>
  </si>
  <si>
    <t xml:space="preserve">번호	(ton)	시간	가동시간	비율	비율	비율	계수	계수	계수		</t>
  </si>
  <si>
    <t xml:space="preserve">1730-0015	1.5	5,000	890	0.9	0.6	0.1	1,800	1,200	708	3,708	</t>
  </si>
  <si>
    <t>[주] ① 원동기(전동기)가 부착되어 있는 것으로 운전경비는 별도 계상한다.</t>
  </si>
  <si>
    <t>② 규격은 전압력(Impacting Force)을 말한다.</t>
  </si>
  <si>
    <t xml:space="preserve">1730-0015	플레이트 콤팩터	1.5ton	휘발유1.0	20	1	</t>
  </si>
  <si>
    <t>플레이트 콤팩터       (천원)</t>
  </si>
  <si>
    <t xml:space="preserve">1730-0015	1,617	</t>
  </si>
  <si>
    <t>중 기 경 비 목 록</t>
  </si>
  <si>
    <t>호 표</t>
  </si>
  <si>
    <t>품     명</t>
  </si>
  <si>
    <t>규     격</t>
  </si>
  <si>
    <t>수량</t>
  </si>
  <si>
    <t>재 료 비</t>
  </si>
  <si>
    <t>노 무 비</t>
  </si>
  <si>
    <t>경    비</t>
  </si>
  <si>
    <t>합    계</t>
  </si>
  <si>
    <t>중기  5호</t>
  </si>
  <si>
    <t>굴삭기(무한궤도)</t>
  </si>
  <si>
    <t>0.7M3+브레이카</t>
  </si>
  <si>
    <t>HR</t>
  </si>
  <si>
    <t>중기  6호</t>
  </si>
  <si>
    <t>1.0㎥</t>
  </si>
  <si>
    <t>중기  7호</t>
  </si>
  <si>
    <t>0.7㎥</t>
  </si>
  <si>
    <t>중기  8호</t>
  </si>
  <si>
    <t>굴착기(유압식백호우)+브레카</t>
  </si>
  <si>
    <t>0.7M3</t>
  </si>
  <si>
    <t>중기  9호</t>
  </si>
  <si>
    <t>중기 11호</t>
  </si>
  <si>
    <t>중기 13호</t>
  </si>
  <si>
    <t>5500L</t>
  </si>
  <si>
    <t>중기 19호</t>
  </si>
  <si>
    <t>진동롤러(핸드가이드식)</t>
  </si>
  <si>
    <t>0.7ton</t>
  </si>
  <si>
    <t>중기 20호</t>
  </si>
  <si>
    <t>커터(콘크리트 및 아스팔트용)</t>
  </si>
  <si>
    <t>320∼400mm</t>
  </si>
  <si>
    <t>중기 21호</t>
  </si>
  <si>
    <t>1.5ton</t>
  </si>
  <si>
    <t>단   가   산   출   서</t>
  </si>
  <si>
    <t>산   출   근   거</t>
  </si>
  <si>
    <t>비    고</t>
  </si>
  <si>
    <t>[] - [보도용 블록 재설치(소형)/A-TYPE  0.1㎡이하(재사용)  M2]</t>
  </si>
  <si>
    <t>[] - [구조물되메우기(기계80%+인력20%)  보통토사  M3]</t>
  </si>
  <si>
    <t>1. 기 계 (80%)</t>
  </si>
  <si>
    <t>굴삭기(무한궤도) 0.7M3+브레이카 HR</t>
  </si>
  <si>
    <t>q</t>
  </si>
  <si>
    <t>k</t>
  </si>
  <si>
    <t>f</t>
  </si>
  <si>
    <t>E</t>
  </si>
  <si>
    <t>Cm</t>
  </si>
  <si>
    <t>Q</t>
  </si>
  <si>
    <t xml:space="preserve"> 소  계</t>
  </si>
  <si>
    <t>2. 인 력 (20%)</t>
  </si>
  <si>
    <t>[] - [구조물터파기(기계80%+인력20%)  보통토사  M3]</t>
  </si>
  <si>
    <t>1) 기계80%(백호우0.7)</t>
  </si>
  <si>
    <t>굴착기(무한궤도) 1.0㎥ HR</t>
  </si>
  <si>
    <t>2) 인력(20%)</t>
  </si>
  <si>
    <t>[] - [터파기  백호 0.7㎥ (기계50%+인력50%)  M3]</t>
  </si>
  <si>
    <t>1) 기계50%(백호우0.7)</t>
  </si>
  <si>
    <t xml:space="preserve"> 굴삭기(유압식백호우) 0.7M3 HR</t>
  </si>
  <si>
    <t>2) 인력(50%)</t>
  </si>
  <si>
    <t>[] - [무근콘크리트깨기  T=30cm이상(대형브레이커+0.7㎥)  M3]</t>
  </si>
  <si>
    <t>1.굴삭기, 대형브레이카</t>
  </si>
  <si>
    <t>굴착기(유압식백호우)+브레카 0.7M3 HR</t>
  </si>
  <si>
    <t>2.보조인부</t>
  </si>
  <si>
    <t>3.치즐소모비</t>
  </si>
  <si>
    <t>4. 들어내기</t>
  </si>
  <si>
    <t>굴착기(무한궤도) 0.7㎥ HR</t>
  </si>
  <si>
    <t>q1</t>
  </si>
  <si>
    <t>[] - [아스팔트포장깨기  기계  M3]</t>
  </si>
  <si>
    <t>1.기계사용료</t>
  </si>
  <si>
    <t>가)굴착기(유압식백호우)+브레카 0.7M3 HR</t>
  </si>
  <si>
    <t>2. 보조인부</t>
  </si>
  <si>
    <t>3. 치즐소모비</t>
  </si>
  <si>
    <t>4.들어내기</t>
  </si>
  <si>
    <t>[] - [보도용 블록 인력철거    M2]</t>
  </si>
  <si>
    <t>Qd</t>
  </si>
  <si>
    <t>덤프트럭 2.5ton HR</t>
  </si>
  <si>
    <t>[] - [아스팔트포장 절단    M]</t>
  </si>
  <si>
    <t>커터(콘크리트 및 아스팔트용) 320∼400mm HR</t>
  </si>
  <si>
    <t>동력분무기 4.85kw HR</t>
  </si>
  <si>
    <t>[] - [보도용 블록 설치  B-Type(협소한 구간), 정밀절단, 유도,점자블록  M2]</t>
  </si>
  <si>
    <t>공구손료 및 경장비 : 인력품의 5% 식  6,711.8 * 5 / 100</t>
  </si>
  <si>
    <t>굴착기(무한궤도) 0.4㎥ HR</t>
  </si>
  <si>
    <t>플레이트 콤팩터 1.5ton HR</t>
  </si>
  <si>
    <t>[] - [콘크리트 포장줄눈 절단  표층면, 절단깊이 10cm이하  M]</t>
  </si>
  <si>
    <t>1.절단</t>
  </si>
  <si>
    <t>가. 인건비</t>
  </si>
  <si>
    <t>나. 커터</t>
  </si>
  <si>
    <t>다. 동력분무기</t>
  </si>
  <si>
    <t>동력분무기  HR</t>
  </si>
  <si>
    <t>[] - [무근콘크리트 깨기  T=30cm미만  M3]</t>
  </si>
  <si>
    <t xml:space="preserve">※참조#1: 국도건설공사 설계실무요령 1.01 기존구조 물철거 </t>
  </si>
  <si>
    <t>※참조#2: 건설표준품셈 10-20 대형브레이커</t>
  </si>
  <si>
    <t>1.기계(100%)</t>
  </si>
  <si>
    <t>가.중기사용료(대형브레이카+백호우 0.7 ㎥)</t>
  </si>
  <si>
    <t>나.작업보조원</t>
  </si>
  <si>
    <t>다.치 즐(0.7 ㎥용) [별도계상]</t>
  </si>
  <si>
    <t>2.집토(백호우 1.0㎥)</t>
  </si>
  <si>
    <t>[] - [레미콘타설  인력타설, 무근  M3]</t>
  </si>
  <si>
    <t xml:space="preserve">※참조#1: 하천건설공사 설계실무요령 7.3.4 콘크리트 타설 </t>
  </si>
  <si>
    <t>※참조#2: 건설표준품셈 6-1 콘크리트</t>
  </si>
  <si>
    <t xml:space="preserve">※ 본 단가 산출은 참고사항으로 현장 여건에 따라 가 감 가능함 </t>
  </si>
  <si>
    <t xml:space="preserve">본 단가 산출에서 명기된 거리는 예시로 현장 여건에  따라 변경가능함 </t>
  </si>
  <si>
    <t xml:space="preserve">단가기준은 사업 적용시점 기준의 최신 건설공사 표준 시장단가 및 건설공사 표준품셈에 따라 변경 적용하여야 함 </t>
  </si>
  <si>
    <t>* 무근콘크리트 타설</t>
  </si>
  <si>
    <t>1. 자재비</t>
  </si>
  <si>
    <t>레미콘(자재비 별산), 1.0㎥×1.02</t>
  </si>
  <si>
    <t>2. 노무비, 진동기 손료</t>
  </si>
  <si>
    <t>레디믹스트콘크리트 타설 / 인력운반</t>
  </si>
  <si>
    <t>레디믹스트콘크리트 타설 / 인력운반 무근구조물 M3</t>
  </si>
  <si>
    <t>[] - [콘크리트 포장절단  절단깊이 10cm 이하  M]</t>
  </si>
  <si>
    <t>※참조#1: 항만건설공사 설계실무요령 13.4. 포장공사</t>
  </si>
  <si>
    <t>※참조#2: 건설표준품셈 토목 1-6 콘크리트 포장</t>
  </si>
  <si>
    <t xml:space="preserve">본 단가산출은 항만설계기준 단가산출요령 단가기준에  의해 작성된 것으로 </t>
  </si>
  <si>
    <t xml:space="preserve">현장여건(육상,수상 등)에 따라 각 구성 요소들을 변 경 적용하여야 함 </t>
  </si>
  <si>
    <t>1. 포장절단</t>
  </si>
  <si>
    <t>포장줄눈 절단</t>
  </si>
  <si>
    <t>콘크리트 포장줄눈 절단</t>
  </si>
  <si>
    <t>콘크리트 포장줄눈 절단 절단깊이 10cm이하 M</t>
  </si>
  <si>
    <t>단 가 산 출 서 목 록</t>
  </si>
  <si>
    <t>단산  3호</t>
  </si>
  <si>
    <t>구조물되메우기(기계80%+인력20%)</t>
  </si>
  <si>
    <t>보통토사</t>
  </si>
  <si>
    <t>M3</t>
  </si>
  <si>
    <t>단산  4호</t>
  </si>
  <si>
    <t>구조물터파기(기계80%+인력20%)</t>
  </si>
  <si>
    <t>단산 16호</t>
  </si>
  <si>
    <t>아스팔트포장 절단</t>
  </si>
  <si>
    <t>단산 17호</t>
  </si>
  <si>
    <t>아스팔트포장깨기</t>
  </si>
  <si>
    <t>기계</t>
  </si>
  <si>
    <t>단 가 대 비 표</t>
  </si>
  <si>
    <t>물가자료</t>
  </si>
  <si>
    <t>물가정보</t>
  </si>
  <si>
    <t>조사단가</t>
  </si>
  <si>
    <t>상반기</t>
  </si>
  <si>
    <t>적용단가</t>
  </si>
  <si>
    <t>비 고</t>
  </si>
  <si>
    <t>단   가</t>
  </si>
  <si>
    <t>Page</t>
  </si>
  <si>
    <t>고무발포 보온재</t>
  </si>
  <si>
    <t>난연보강테이프(검정)</t>
  </si>
  <si>
    <t>폴 50Mx 길이50M</t>
  </si>
  <si>
    <t>롤</t>
  </si>
  <si>
    <t>라인마크</t>
  </si>
  <si>
    <t>수도용</t>
  </si>
  <si>
    <t>모래</t>
  </si>
  <si>
    <t>대구(도착도)</t>
  </si>
  <si>
    <t>배관식별색상띠(마스테이프)</t>
  </si>
  <si>
    <t>100mmx10M 컬러</t>
  </si>
  <si>
    <t>비압력용경질폴리염화비닐관(고무링접합)</t>
  </si>
  <si>
    <t>PVC관(VN SDR 33, 구 VG2), D100</t>
  </si>
  <si>
    <t>스테인레스 볼트/너트</t>
  </si>
  <si>
    <t>M16*100L</t>
  </si>
  <si>
    <t>개</t>
  </si>
  <si>
    <t>스테인레스관이음쇠 나사식</t>
  </si>
  <si>
    <t>D20, 니플, 나사식</t>
  </si>
  <si>
    <t>D20, 소켓, 나사식</t>
  </si>
  <si>
    <t>D20, 엘보, 나사식</t>
  </si>
  <si>
    <t>D20, 유니언, 나사식</t>
  </si>
  <si>
    <t>스테인레스관이음쇠 용접식</t>
  </si>
  <si>
    <t>시멘트</t>
  </si>
  <si>
    <t>40KG</t>
  </si>
  <si>
    <t>포</t>
  </si>
  <si>
    <t>① 자재분류적용</t>
  </si>
  <si>
    <t>아스팔트</t>
  </si>
  <si>
    <t>표층용</t>
  </si>
  <si>
    <t>TON</t>
  </si>
  <si>
    <t>알곤</t>
  </si>
  <si>
    <t>자갈</t>
  </si>
  <si>
    <t>25mm이하</t>
  </si>
  <si>
    <t>시내도착도</t>
  </si>
  <si>
    <t>접착제</t>
  </si>
  <si>
    <t>고무발포단열재용</t>
  </si>
  <si>
    <t>kg</t>
  </si>
  <si>
    <t>주철제 맨홀뚜껑</t>
  </si>
  <si>
    <t>648Φ</t>
  </si>
  <si>
    <t>치즐</t>
  </si>
  <si>
    <t>콘크리트 사각맨홀</t>
  </si>
  <si>
    <t>1,000x1,000x1,000x150T</t>
  </si>
  <si>
    <t>조</t>
  </si>
  <si>
    <t>플랜지 패킹</t>
  </si>
  <si>
    <t>D65 (비석면)10K</t>
  </si>
  <si>
    <t>플랜지(스테인레스) SOFF</t>
  </si>
  <si>
    <t>D65</t>
  </si>
  <si>
    <t>TIG용접봉(알곤용접용)</t>
  </si>
  <si>
    <t>D3.2</t>
  </si>
  <si>
    <t>보온공</t>
  </si>
  <si>
    <t>용접공</t>
  </si>
  <si>
    <t>용접공(일반)</t>
  </si>
  <si>
    <t>콘크리트공</t>
  </si>
  <si>
    <t>특별인부</t>
  </si>
  <si>
    <t>포장공</t>
  </si>
  <si>
    <t>폐기물상차비</t>
  </si>
  <si>
    <t>폐콘크리트,폐아스팔트 기준</t>
  </si>
  <si>
    <t>폐기물운반비</t>
  </si>
  <si>
    <t>폐콘크리트,폐아스팔트,30km 기준</t>
  </si>
  <si>
    <t>폐콘크리트</t>
  </si>
  <si>
    <t>일 위 대 가 명 세 서</t>
  </si>
  <si>
    <t>품        명</t>
  </si>
  <si>
    <t>규        격</t>
  </si>
  <si>
    <t>재  료  비</t>
  </si>
  <si>
    <t>노  무  비</t>
  </si>
  <si>
    <t>경      비</t>
  </si>
  <si>
    <t>합      계</t>
  </si>
  <si>
    <t>소모품비</t>
  </si>
  <si>
    <t>A0300000000</t>
  </si>
  <si>
    <t>[일위 10호] - [라인마크부설  수도용  개소]</t>
  </si>
  <si>
    <t>무근콘크리트</t>
  </si>
  <si>
    <t>손비빔 1:3:6</t>
  </si>
  <si>
    <t>일위 12호</t>
  </si>
  <si>
    <t>[일위 12호] - [무근콘크리트  손비빔 1:3:6  M3]</t>
  </si>
  <si>
    <t>공구손료</t>
  </si>
  <si>
    <t>23</t>
  </si>
  <si>
    <t>A0200000000</t>
  </si>
  <si>
    <t>[일위 18호] - [일반아스팔트포장  인력식소규모장비시공,표층,포장두께 7.5cm이하  M2]</t>
  </si>
  <si>
    <t>토목1-5-5</t>
  </si>
  <si>
    <t>일 위 대 가 표 목 록</t>
  </si>
  <si>
    <t>금    액</t>
  </si>
  <si>
    <t>일위  1호</t>
  </si>
  <si>
    <t>관보온(고무발포보온)</t>
  </si>
  <si>
    <t>일위  2호</t>
  </si>
  <si>
    <t>일위 10호</t>
  </si>
  <si>
    <t>라인마크부설</t>
  </si>
  <si>
    <t>개소</t>
  </si>
  <si>
    <t>일위 14호</t>
  </si>
  <si>
    <t>스테인레스배관용접(알곤용접)</t>
  </si>
  <si>
    <t>일위 15호</t>
  </si>
  <si>
    <t>일위 18호</t>
  </si>
  <si>
    <t>일반아스팔트포장</t>
  </si>
  <si>
    <t>인력식소규모장비시공,표층,포장두께 7.5cm이하</t>
  </si>
  <si>
    <t>M2</t>
  </si>
  <si>
    <t>내       역       서</t>
  </si>
  <si>
    <t>품      명</t>
  </si>
  <si>
    <t>규      격</t>
  </si>
  <si>
    <t>운반비</t>
  </si>
  <si>
    <t>작업부산물</t>
  </si>
  <si>
    <t>관급</t>
  </si>
  <si>
    <t>외주비</t>
  </si>
  <si>
    <t>장비비</t>
  </si>
  <si>
    <t>가설비</t>
  </si>
  <si>
    <t>잡비제외분</t>
  </si>
  <si>
    <t>사급자재대</t>
  </si>
  <si>
    <t>관급자재대</t>
  </si>
  <si>
    <t>작업부산물1</t>
  </si>
  <si>
    <t>소방시설공사업 배상책임공제</t>
  </si>
  <si>
    <t>부가가치세</t>
  </si>
  <si>
    <t xml:space="preserve">T. A. B 공 사 </t>
  </si>
  <si>
    <t>자동제어공사</t>
  </si>
  <si>
    <t>품 질 관 리</t>
  </si>
  <si>
    <t>재 해 예 방 기 술 지 도</t>
  </si>
  <si>
    <t>상수도인입분당금</t>
  </si>
  <si>
    <t>사용자항목10</t>
  </si>
  <si>
    <t>사용자항목11</t>
  </si>
  <si>
    <t>사용자항목12</t>
  </si>
  <si>
    <t>사용자항목13</t>
  </si>
  <si>
    <t>사용자항목14</t>
  </si>
  <si>
    <t>사용자항목15</t>
  </si>
  <si>
    <t>사용자항목16</t>
  </si>
  <si>
    <t>사용자항목17</t>
  </si>
  <si>
    <t>사용자항목18</t>
  </si>
  <si>
    <t>사용자항목19</t>
  </si>
  <si>
    <t>간접재료비</t>
  </si>
  <si>
    <t>A0400000000</t>
  </si>
  <si>
    <t>2. 폐기물처리비</t>
  </si>
  <si>
    <t>공 종 리 스 트</t>
  </si>
  <si>
    <t>No</t>
  </si>
  <si>
    <t>공  종  명</t>
  </si>
  <si>
    <t>공 사 원 가 계 산 서</t>
  </si>
  <si>
    <t xml:space="preserve">                     구  분
  비   목</t>
  </si>
  <si>
    <t>구    성   비</t>
  </si>
  <si>
    <t>금      액</t>
  </si>
  <si>
    <t>A1</t>
  </si>
  <si>
    <t>A2</t>
  </si>
  <si>
    <t>A</t>
  </si>
  <si>
    <t>B1</t>
  </si>
  <si>
    <t>B2</t>
  </si>
  <si>
    <t>B</t>
  </si>
  <si>
    <t>C4</t>
  </si>
  <si>
    <t>C10</t>
  </si>
  <si>
    <t>C11</t>
  </si>
  <si>
    <t>C12</t>
  </si>
  <si>
    <t>C13</t>
  </si>
  <si>
    <t>C14</t>
  </si>
  <si>
    <t>C15</t>
  </si>
  <si>
    <t>C16</t>
  </si>
  <si>
    <t>C20</t>
  </si>
  <si>
    <t>C25</t>
  </si>
  <si>
    <t>C33</t>
  </si>
  <si>
    <t>C</t>
  </si>
  <si>
    <t>X</t>
  </si>
  <si>
    <t>D</t>
  </si>
  <si>
    <t>이                윤</t>
  </si>
  <si>
    <t>총       원       가</t>
  </si>
  <si>
    <t>F</t>
  </si>
  <si>
    <t>Y</t>
  </si>
  <si>
    <t>총   공   사  금  액</t>
  </si>
  <si>
    <t>분기별집계표</t>
  </si>
  <si>
    <t>공사명 : 삼성라이온즈볼파크 옥외급수시설 개선 기계설비공사 &gt; 옥외 배관 공사</t>
  </si>
  <si>
    <t>품   명</t>
  </si>
  <si>
    <t>규   격</t>
  </si>
  <si>
    <t>옥외 배관-1</t>
  </si>
  <si>
    <t>옥외 배관-2</t>
  </si>
  <si>
    <t>옥외 배관-3</t>
  </si>
  <si>
    <t>할증</t>
  </si>
  <si>
    <t>할증후수량</t>
  </si>
  <si>
    <t>품명</t>
  </si>
  <si>
    <t>규격</t>
  </si>
  <si>
    <t>부위</t>
  </si>
  <si>
    <t>산   출   내   용</t>
  </si>
  <si>
    <t>원수량</t>
  </si>
  <si>
    <t>할증율</t>
  </si>
  <si>
    <t>[ 옥외 배관-1 ]</t>
  </si>
  <si>
    <t>[ 옥외 배관-2 ]</t>
  </si>
  <si>
    <t>[ 옥외 배관-3 ]</t>
  </si>
  <si>
    <t>순  공  사  원  가</t>
  </si>
  <si>
    <t>직   접   재  료  비</t>
  </si>
  <si>
    <t>간   접   재  료  비</t>
  </si>
  <si>
    <t>소                계</t>
  </si>
  <si>
    <t>직   접   노  무  비</t>
  </si>
  <si>
    <t>간   접   노  무  비</t>
  </si>
  <si>
    <t>경  비</t>
  </si>
  <si>
    <t>기    계    경    비</t>
  </si>
  <si>
    <t>산  재  보   험   료</t>
  </si>
  <si>
    <t>고  용  보   험   료</t>
  </si>
  <si>
    <t>건  강  보   험   료</t>
  </si>
  <si>
    <t>연  금  보   험   료</t>
  </si>
  <si>
    <t>노인 장기 요양보험료</t>
  </si>
  <si>
    <t>퇴 직 공 제 부 금 비</t>
  </si>
  <si>
    <t>산업 안전 보건관리비</t>
  </si>
  <si>
    <t>기    타    경    비</t>
  </si>
  <si>
    <t>환  경  보   전   비</t>
  </si>
  <si>
    <t>품  질   관  리   비</t>
  </si>
  <si>
    <t xml:space="preserve">         계</t>
  </si>
  <si>
    <t>일  반   관   리  비</t>
  </si>
  <si>
    <t>U2</t>
  </si>
  <si>
    <t>[ 기 계 설 비 내 역 서 ]</t>
    <phoneticPr fontId="20" type="noConversion"/>
  </si>
  <si>
    <t>2025 , 10</t>
    <phoneticPr fontId="1" type="noConversion"/>
  </si>
  <si>
    <t>[ 기 계 설 비 일 위 대 가 표 ]</t>
    <phoneticPr fontId="20" type="noConversion"/>
  </si>
  <si>
    <t>[ 기 계 설 비 단 가 대 비 표 ]</t>
    <phoneticPr fontId="20" type="noConversion"/>
  </si>
  <si>
    <t>[ 기 계 설 비 산 출 근 거 표 ]</t>
    <phoneticPr fontId="20" type="noConversion"/>
  </si>
  <si>
    <t>폐  기  물  처  리  비</t>
    <phoneticPr fontId="1" type="noConversion"/>
  </si>
  <si>
    <t>공사명 : 삼성라이온즈볼파크 옥외급수시설 개선 기계설비공사</t>
    <phoneticPr fontId="1" type="noConversion"/>
  </si>
  <si>
    <t>삼성라이온즈볼파크 옥외급수시설 개선 기계설비공사</t>
    <phoneticPr fontId="1" type="noConversion"/>
  </si>
  <si>
    <t>합            계</t>
    <phoneticPr fontId="1" type="noConversion"/>
  </si>
  <si>
    <t>상 수 도 인 입 분 담 금</t>
    <phoneticPr fontId="1" type="noConversion"/>
  </si>
  <si>
    <t>별도</t>
    <phoneticPr fontId="1" type="noConversion"/>
  </si>
  <si>
    <t>KS D 3506 SCH10SD, D50</t>
    <phoneticPr fontId="1" type="noConversion"/>
  </si>
  <si>
    <t>KS D 3506 SCH10SD, D65</t>
    <phoneticPr fontId="1" type="noConversion"/>
  </si>
  <si>
    <t>D65mm×0.98MPa, 기어</t>
    <phoneticPr fontId="1" type="noConversion"/>
  </si>
  <si>
    <t>D50mm×0.98MPa, 기어</t>
    <phoneticPr fontId="1" type="noConversion"/>
  </si>
  <si>
    <t>KS D 3506 SCH10SD, D65</t>
    <phoneticPr fontId="1" type="noConversion"/>
  </si>
  <si>
    <t>KS D 3506 SCH10SD, D50</t>
    <phoneticPr fontId="1" type="noConversion"/>
  </si>
  <si>
    <t>KS D 3506 SCH10SD, D65</t>
    <phoneticPr fontId="1" type="noConversion"/>
  </si>
  <si>
    <t>D50 X 40T</t>
    <phoneticPr fontId="1" type="noConversion"/>
  </si>
  <si>
    <t>D65 X 40T</t>
    <phoneticPr fontId="1" type="noConversion"/>
  </si>
  <si>
    <t>90°엘보 S10, D50</t>
    <phoneticPr fontId="1" type="noConversion"/>
  </si>
  <si>
    <t>90°엘보 S10, D65</t>
    <phoneticPr fontId="1" type="noConversion"/>
  </si>
  <si>
    <t>티 S10, D65</t>
    <phoneticPr fontId="1" type="noConversion"/>
  </si>
  <si>
    <t>레듀셔 S10, D65</t>
    <phoneticPr fontId="1" type="noConversion"/>
  </si>
  <si>
    <t>D65</t>
    <phoneticPr fontId="1" type="noConversion"/>
  </si>
  <si>
    <t>90°엘보 S10, D65</t>
    <phoneticPr fontId="1" type="noConversion"/>
  </si>
  <si>
    <t>D65</t>
    <phoneticPr fontId="1" type="noConversion"/>
  </si>
  <si>
    <t>KS D 3506 SCH10SD, D50</t>
    <phoneticPr fontId="1" type="noConversion"/>
  </si>
  <si>
    <t>D65 X 40T</t>
    <phoneticPr fontId="1" type="noConversion"/>
  </si>
  <si>
    <t>D65</t>
    <phoneticPr fontId="1" type="noConversion"/>
  </si>
  <si>
    <t>D65 (비석면)10K</t>
    <phoneticPr fontId="1" type="noConversion"/>
  </si>
  <si>
    <t>D65mm×0.98MPa, 기어</t>
    <phoneticPr fontId="1" type="noConversion"/>
  </si>
  <si>
    <t>D50mm×0.98MPa, 기어</t>
    <phoneticPr fontId="1" type="noConversion"/>
  </si>
  <si>
    <t>90°엘보 S10, D50</t>
    <phoneticPr fontId="1" type="noConversion"/>
  </si>
  <si>
    <t>티 S10, D65</t>
    <phoneticPr fontId="1" type="noConversion"/>
  </si>
  <si>
    <t>레듀셔 S10, D65</t>
    <phoneticPr fontId="1" type="noConversion"/>
  </si>
  <si>
    <t>D50 X 40T</t>
    <phoneticPr fontId="1" type="noConversion"/>
  </si>
  <si>
    <t>D50</t>
    <phoneticPr fontId="1" type="noConversion"/>
  </si>
  <si>
    <t xml:space="preserve">D50 </t>
    <phoneticPr fontId="1" type="noConversion"/>
  </si>
  <si>
    <t>D50 (비석면)10K</t>
    <phoneticPr fontId="1" type="noConversion"/>
  </si>
  <si>
    <t>D65mm×0.98MPa, 기어</t>
    <phoneticPr fontId="1" type="noConversion"/>
  </si>
  <si>
    <t>D50mm×0.98MPa, 기어</t>
    <phoneticPr fontId="1" type="noConversion"/>
  </si>
  <si>
    <t>난연 D65 x 40T</t>
    <phoneticPr fontId="1" type="noConversion"/>
  </si>
  <si>
    <t>난연 D50 x 40T</t>
    <phoneticPr fontId="1" type="noConversion"/>
  </si>
  <si>
    <t>D50mm×0.98MPa, 기어</t>
    <phoneticPr fontId="1" type="noConversion"/>
  </si>
  <si>
    <t>KS D 3506 SCH10SD, D65</t>
    <phoneticPr fontId="1" type="noConversion"/>
  </si>
  <si>
    <t>90°엘보 S10, D65</t>
    <phoneticPr fontId="1" type="noConversion"/>
  </si>
  <si>
    <t>D50</t>
    <phoneticPr fontId="1" type="noConversion"/>
  </si>
  <si>
    <t>[일위  1호] - [관보온(고무발포보온)  D50 X 40T  M]</t>
    <phoneticPr fontId="1" type="noConversion"/>
  </si>
  <si>
    <t>난연 D50 x 40T</t>
    <phoneticPr fontId="1" type="noConversion"/>
  </si>
  <si>
    <t>난연 D65 x 40T</t>
    <phoneticPr fontId="1" type="noConversion"/>
  </si>
  <si>
    <t>[일위  2호] - [관보온(고무발포보온)  D65 X 40T  M]</t>
    <phoneticPr fontId="1" type="noConversion"/>
  </si>
  <si>
    <t>[일위 14호] - [스테인레스배관용접(알곤용접)  D50  개소]</t>
    <phoneticPr fontId="1" type="noConversion"/>
  </si>
  <si>
    <t>[일위 15호] - [스테인레스배관용접(알곤용접)  D65  개소]</t>
    <phoneticPr fontId="1" type="noConversion"/>
  </si>
  <si>
    <t>D65 X 40T</t>
    <phoneticPr fontId="1" type="noConversion"/>
  </si>
  <si>
    <t>90°엘보 S10, D65</t>
    <phoneticPr fontId="1" type="noConversion"/>
  </si>
  <si>
    <t>D50</t>
    <phoneticPr fontId="1" type="noConversion"/>
  </si>
  <si>
    <t>D65 (비석면)10K</t>
    <phoneticPr fontId="1" type="noConversion"/>
  </si>
  <si>
    <t>D65mm×0.98MPa, 기어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</si>
</sst>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20"/>
      <color rgb="FF000000"/>
      <name val="굴림체"/>
      <family val="3"/>
      <charset val="129"/>
    </font>
    <font>
      <b/>
      <u/>
      <sz val="10"/>
      <color rgb="FF0000FF"/>
      <name val="굴림체"/>
      <family val="3"/>
      <charset val="129"/>
    </font>
    <font>
      <b/>
      <u/>
      <sz val="10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b/>
      <sz val="8"/>
      <color rgb="FF800000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rgb="FF0000FF"/>
      <name val="굴림체"/>
      <family val="3"/>
      <charset val="129"/>
    </font>
    <font>
      <b/>
      <u/>
      <sz val="20"/>
      <color rgb="FF000000"/>
      <name val="돋움체"/>
      <family val="3"/>
      <charset val="129"/>
    </font>
    <font>
      <sz val="8"/>
      <color rgb="FF000000"/>
      <name val="굴림체"/>
      <family val="3"/>
      <charset val="129"/>
    </font>
    <font>
      <sz val="20"/>
      <color theme="1"/>
      <name val="굴림체"/>
      <family val="3"/>
      <charset val="129"/>
    </font>
    <font>
      <sz val="7"/>
      <color theme="1"/>
      <name val="굴림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4"/>
      <name val="나눔고딕"/>
      <family val="3"/>
      <charset val="129"/>
    </font>
    <font>
      <b/>
      <sz val="45"/>
      <name val="나눔고딕"/>
      <family val="3"/>
      <charset val="129"/>
    </font>
    <font>
      <sz val="45"/>
      <name val="나눔고딕"/>
      <family val="3"/>
      <charset val="129"/>
    </font>
    <font>
      <b/>
      <sz val="36"/>
      <name val="나눔고딕"/>
      <family val="3"/>
      <charset val="129"/>
    </font>
    <font>
      <sz val="36"/>
      <name val="나눔고딕"/>
      <family val="3"/>
      <charset val="129"/>
    </font>
    <font>
      <sz val="8"/>
      <name val="돋움"/>
      <family val="3"/>
      <charset val="129"/>
    </font>
    <font>
      <sz val="11"/>
      <name val="나눔고딕"/>
      <family val="3"/>
      <charset val="129"/>
    </font>
    <font>
      <b/>
      <sz val="28"/>
      <name val="나눔고딕"/>
      <family val="3"/>
      <charset val="129"/>
    </font>
    <font>
      <sz val="48"/>
      <name val="나눔고딕"/>
      <family val="3"/>
      <charset val="129"/>
    </font>
    <font>
      <b/>
      <sz val="8"/>
      <color theme="1"/>
      <name val="굴림체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  <fill>
      <patternFill patternType="solid">
        <fgColor rgb="FFF0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 shrinkToFit="1"/>
    </xf>
    <xf numFmtId="0" fontId="6" fillId="4" borderId="2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right" vertical="center" wrapText="1" shrinkToFit="1"/>
    </xf>
    <xf numFmtId="0" fontId="6" fillId="4" borderId="3" xfId="0" applyFont="1" applyFill="1" applyBorder="1" applyAlignment="1">
      <alignment horizontal="left" vertical="center" wrapText="1" shrinkToFi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right" vertical="center" wrapText="1" shrinkToFit="1"/>
    </xf>
    <xf numFmtId="3" fontId="6" fillId="4" borderId="3" xfId="0" applyNumberFormat="1" applyFont="1" applyFill="1" applyBorder="1" applyAlignment="1">
      <alignment horizontal="right" vertical="center" wrapText="1" shrinkToFit="1"/>
    </xf>
    <xf numFmtId="0" fontId="7" fillId="0" borderId="2" xfId="0" quotePrefix="1" applyFont="1" applyBorder="1" applyAlignment="1">
      <alignment horizontal="left" vertical="center" wrapText="1" shrinkToFit="1"/>
    </xf>
    <xf numFmtId="0" fontId="7" fillId="0" borderId="2" xfId="0" quotePrefix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right" vertical="center" wrapText="1" shrinkToFit="1"/>
    </xf>
    <xf numFmtId="9" fontId="7" fillId="0" borderId="2" xfId="0" applyNumberFormat="1" applyFont="1" applyBorder="1" applyAlignment="1">
      <alignment horizontal="righ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9" fontId="7" fillId="0" borderId="3" xfId="0" applyNumberFormat="1" applyFont="1" applyBorder="1" applyAlignment="1">
      <alignment horizontal="right" vertical="center" wrapText="1" shrinkToFit="1"/>
    </xf>
    <xf numFmtId="0" fontId="7" fillId="0" borderId="3" xfId="0" applyFont="1" applyBorder="1" applyAlignment="1">
      <alignment horizontal="right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left" vertical="center" wrapText="1" shrinkToFit="1"/>
    </xf>
    <xf numFmtId="0" fontId="8" fillId="2" borderId="2" xfId="0" applyFont="1" applyFill="1" applyBorder="1" applyAlignment="1">
      <alignment horizontal="right" vertical="center" wrapText="1" shrinkToFit="1"/>
    </xf>
    <xf numFmtId="0" fontId="8" fillId="2" borderId="3" xfId="0" applyFont="1" applyFill="1" applyBorder="1" applyAlignment="1">
      <alignment horizontal="left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right" vertical="center" wrapText="1" shrinkToFit="1"/>
    </xf>
    <xf numFmtId="0" fontId="6" fillId="4" borderId="2" xfId="0" applyFont="1" applyFill="1" applyBorder="1" applyAlignment="1">
      <alignment horizontal="right" vertical="center" shrinkToFit="1"/>
    </xf>
    <xf numFmtId="0" fontId="6" fillId="4" borderId="3" xfId="0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3" xfId="0" quotePrefix="1" applyFont="1" applyBorder="1" applyAlignment="1">
      <alignment horizontal="right" vertical="center" shrinkToFit="1"/>
    </xf>
    <xf numFmtId="0" fontId="8" fillId="2" borderId="2" xfId="0" applyFont="1" applyFill="1" applyBorder="1" applyAlignment="1">
      <alignment horizontal="right" vertical="center" shrinkToFit="1"/>
    </xf>
    <xf numFmtId="0" fontId="8" fillId="2" borderId="3" xfId="0" applyFont="1" applyFill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0" fontId="9" fillId="5" borderId="1" xfId="0" quotePrefix="1" applyFont="1" applyFill="1" applyBorder="1" applyAlignment="1">
      <alignment horizontal="left" vertical="center" wrapText="1" shrinkToFit="1"/>
    </xf>
    <xf numFmtId="0" fontId="7" fillId="0" borderId="1" xfId="0" quotePrefix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right" vertical="center" wrapText="1" shrinkToFit="1"/>
    </xf>
    <xf numFmtId="0" fontId="8" fillId="2" borderId="1" xfId="0" quotePrefix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right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right" vertical="center" shrinkToFit="1"/>
    </xf>
    <xf numFmtId="0" fontId="8" fillId="2" borderId="1" xfId="0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9" fillId="5" borderId="1" xfId="0" applyFont="1" applyFill="1" applyBorder="1" applyAlignment="1">
      <alignment horizontal="right" vertical="center" wrapText="1" shrinkToFit="1"/>
    </xf>
    <xf numFmtId="0" fontId="7" fillId="0" borderId="1" xfId="0" quotePrefix="1" applyFont="1" applyBorder="1" applyAlignment="1">
      <alignment horizontal="right" vertical="center" wrapText="1" shrinkToFit="1"/>
    </xf>
    <xf numFmtId="0" fontId="9" fillId="5" borderId="1" xfId="0" quotePrefix="1" applyFont="1" applyFill="1" applyBorder="1" applyAlignment="1">
      <alignment horizontal="right" vertical="center" wrapText="1" shrinkToFit="1"/>
    </xf>
    <xf numFmtId="0" fontId="9" fillId="5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11" fillId="0" borderId="2" xfId="0" quotePrefix="1" applyFont="1" applyBorder="1" applyAlignment="1">
      <alignment horizontal="left" vertical="center" wrapText="1" shrinkToFit="1"/>
    </xf>
    <xf numFmtId="0" fontId="11" fillId="0" borderId="3" xfId="0" quotePrefix="1" applyFont="1" applyBorder="1" applyAlignment="1">
      <alignment horizontal="left" vertical="center" wrapText="1" shrinkToFit="1"/>
    </xf>
    <xf numFmtId="0" fontId="8" fillId="2" borderId="1" xfId="0" quotePrefix="1" applyFont="1" applyFill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horizontal="left" vertical="center" wrapText="1" shrinkToFit="1"/>
    </xf>
    <xf numFmtId="0" fontId="11" fillId="0" borderId="13" xfId="0" quotePrefix="1" applyFont="1" applyBorder="1" applyAlignment="1">
      <alignment horizontal="left" vertical="center" wrapText="1" shrinkToFi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1" xfId="0" quotePrefix="1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right" vertical="center" shrinkToFit="1"/>
    </xf>
    <xf numFmtId="0" fontId="11" fillId="0" borderId="3" xfId="0" applyFont="1" applyBorder="1" applyAlignment="1">
      <alignment horizontal="right" vertical="center" shrinkToFit="1"/>
    </xf>
    <xf numFmtId="0" fontId="11" fillId="0" borderId="13" xfId="0" applyFont="1" applyBorder="1" applyAlignment="1">
      <alignment horizontal="right" vertical="center" shrinkToFit="1"/>
    </xf>
    <xf numFmtId="0" fontId="11" fillId="0" borderId="1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quotePrefix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15" fillId="0" borderId="0" xfId="0" applyNumberFormat="1" applyFont="1" applyBorder="1" applyAlignment="1">
      <alignment horizontal="lef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center" vertical="center"/>
    </xf>
    <xf numFmtId="176" fontId="15" fillId="0" borderId="0" xfId="0" applyNumberFormat="1" applyFont="1" applyBorder="1" applyAlignment="1"/>
    <xf numFmtId="176" fontId="15" fillId="0" borderId="0" xfId="0" applyNumberFormat="1" applyFont="1" applyAlignment="1"/>
    <xf numFmtId="0" fontId="15" fillId="0" borderId="0" xfId="0" applyFont="1" applyAlignment="1"/>
    <xf numFmtId="176" fontId="19" fillId="0" borderId="0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left" vertical="center"/>
    </xf>
    <xf numFmtId="176" fontId="19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176" fontId="23" fillId="0" borderId="0" xfId="0" applyNumberFormat="1" applyFont="1" applyAlignment="1">
      <alignment horizontal="left" vertical="center"/>
    </xf>
    <xf numFmtId="0" fontId="24" fillId="7" borderId="1" xfId="0" quotePrefix="1" applyFont="1" applyFill="1" applyBorder="1" applyAlignment="1">
      <alignment horizontal="left" vertical="center" wrapText="1" shrinkToFit="1"/>
    </xf>
    <xf numFmtId="0" fontId="24" fillId="7" borderId="1" xfId="0" quotePrefix="1" applyFont="1" applyFill="1" applyBorder="1" applyAlignment="1">
      <alignment horizontal="center" vertical="center" wrapText="1" shrinkToFit="1"/>
    </xf>
    <xf numFmtId="0" fontId="24" fillId="7" borderId="1" xfId="0" applyFont="1" applyFill="1" applyBorder="1" applyAlignment="1">
      <alignment horizontal="center" vertical="center" shrinkToFit="1"/>
    </xf>
    <xf numFmtId="0" fontId="24" fillId="7" borderId="1" xfId="0" applyFont="1" applyFill="1" applyBorder="1" applyAlignment="1">
      <alignment horizontal="right" vertical="center" shrinkToFit="1"/>
    </xf>
    <xf numFmtId="0" fontId="24" fillId="7" borderId="1" xfId="0" applyFont="1" applyFill="1" applyBorder="1" applyAlignment="1">
      <alignment horizontal="left" vertical="center" wrapText="1" shrinkToFit="1"/>
    </xf>
    <xf numFmtId="0" fontId="14" fillId="7" borderId="0" xfId="0" applyFont="1" applyFill="1">
      <alignment vertical="center"/>
    </xf>
    <xf numFmtId="0" fontId="14" fillId="7" borderId="0" xfId="0" quotePrefix="1" applyFont="1" applyFill="1">
      <alignment vertical="center"/>
    </xf>
    <xf numFmtId="0" fontId="7" fillId="0" borderId="1" xfId="0" quotePrefix="1" applyFont="1" applyBorder="1" applyAlignment="1">
      <alignment horizontal="left" vertical="center" wrapText="1" shrinkToFit="1"/>
    </xf>
    <xf numFmtId="0" fontId="8" fillId="2" borderId="1" xfId="0" quotePrefix="1" applyFont="1" applyFill="1" applyBorder="1" applyAlignment="1">
      <alignment horizontal="center" vertical="center" shrinkToFit="1"/>
    </xf>
    <xf numFmtId="176" fontId="22" fillId="0" borderId="0" xfId="0" applyNumberFormat="1" applyFont="1" applyBorder="1" applyAlignment="1">
      <alignment horizontal="center" vertical="center"/>
    </xf>
    <xf numFmtId="176" fontId="18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0" fontId="19" fillId="0" borderId="0" xfId="0" applyFont="1" applyBorder="1" applyAlignment="1">
      <alignment vertical="center"/>
    </xf>
    <xf numFmtId="0" fontId="21" fillId="0" borderId="0" xfId="0" applyFont="1" applyBorder="1" applyAlignment="1"/>
    <xf numFmtId="176" fontId="16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/>
    <xf numFmtId="0" fontId="17" fillId="0" borderId="0" xfId="0" applyFont="1" applyBorder="1" applyAlignment="1">
      <alignment vertical="center"/>
    </xf>
    <xf numFmtId="176" fontId="15" fillId="0" borderId="0" xfId="0" applyNumberFormat="1" applyFont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textRotation="255" wrapText="1" shrinkToFit="1"/>
    </xf>
    <xf numFmtId="0" fontId="7" fillId="0" borderId="3" xfId="0" applyFont="1" applyBorder="1" applyAlignment="1">
      <alignment horizontal="center" vertical="center" textRotation="255" wrapText="1" shrinkToFit="1"/>
    </xf>
    <xf numFmtId="0" fontId="7" fillId="0" borderId="1" xfId="0" applyFont="1" applyBorder="1" applyAlignment="1">
      <alignment horizontal="center" vertical="center" textRotation="255" wrapText="1" shrinkToFit="1"/>
    </xf>
    <xf numFmtId="0" fontId="7" fillId="0" borderId="2" xfId="0" applyFont="1" applyBorder="1" applyAlignment="1">
      <alignment horizontal="center" vertical="center" textRotation="255" wrapText="1" shrinkToFit="1"/>
    </xf>
    <xf numFmtId="0" fontId="7" fillId="0" borderId="13" xfId="0" applyFont="1" applyBorder="1" applyAlignment="1">
      <alignment horizontal="center" vertical="center" textRotation="255" wrapText="1" shrinkToFit="1"/>
    </xf>
    <xf numFmtId="0" fontId="6" fillId="4" borderId="5" xfId="0" quotePrefix="1" applyFont="1" applyFill="1" applyBorder="1" applyAlignment="1">
      <alignment horizontal="left" vertical="center" wrapText="1" shrinkToFit="1"/>
    </xf>
    <xf numFmtId="0" fontId="6" fillId="4" borderId="6" xfId="0" quotePrefix="1" applyFont="1" applyFill="1" applyBorder="1" applyAlignment="1">
      <alignment horizontal="left" vertical="center" wrapText="1" shrinkToFit="1"/>
    </xf>
    <xf numFmtId="0" fontId="6" fillId="4" borderId="6" xfId="0" quotePrefix="1" applyFont="1" applyFill="1" applyBorder="1" applyAlignment="1">
      <alignment horizontal="left" vertical="center" shrinkToFit="1"/>
    </xf>
    <xf numFmtId="0" fontId="6" fillId="4" borderId="7" xfId="0" quotePrefix="1" applyFont="1" applyFill="1" applyBorder="1" applyAlignment="1">
      <alignment horizontal="left" vertical="center" wrapText="1" shrinkToFit="1"/>
    </xf>
    <xf numFmtId="0" fontId="6" fillId="4" borderId="1" xfId="0" quotePrefix="1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horizontal="left" vertical="center" shrinkToFit="1"/>
    </xf>
    <xf numFmtId="0" fontId="9" fillId="5" borderId="5" xfId="0" quotePrefix="1" applyFont="1" applyFill="1" applyBorder="1" applyAlignment="1">
      <alignment horizontal="left" vertical="center" wrapText="1" shrinkToFit="1"/>
    </xf>
    <xf numFmtId="0" fontId="9" fillId="5" borderId="6" xfId="0" quotePrefix="1" applyFont="1" applyFill="1" applyBorder="1" applyAlignment="1">
      <alignment horizontal="left" vertical="center" wrapText="1" shrinkToFit="1"/>
    </xf>
    <xf numFmtId="0" fontId="9" fillId="5" borderId="6" xfId="0" quotePrefix="1" applyFont="1" applyFill="1" applyBorder="1" applyAlignment="1">
      <alignment horizontal="left" vertical="center" shrinkToFit="1"/>
    </xf>
    <xf numFmtId="0" fontId="9" fillId="5" borderId="7" xfId="0" quotePrefix="1" applyFont="1" applyFill="1" applyBorder="1" applyAlignment="1">
      <alignment horizontal="left" vertical="center" shrinkToFit="1"/>
    </xf>
    <xf numFmtId="0" fontId="9" fillId="5" borderId="1" xfId="0" quotePrefix="1" applyFont="1" applyFill="1" applyBorder="1" applyAlignment="1">
      <alignment horizontal="left" vertical="center" wrapText="1" shrinkToFit="1"/>
    </xf>
    <xf numFmtId="0" fontId="9" fillId="5" borderId="1" xfId="0" applyFont="1" applyFill="1" applyBorder="1" applyAlignment="1">
      <alignment horizontal="left" vertical="center" wrapText="1" shrinkToFit="1"/>
    </xf>
    <xf numFmtId="0" fontId="9" fillId="5" borderId="1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1" xfId="0" quotePrefix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/>
    </xf>
    <xf numFmtId="49" fontId="13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22"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2311\c\&#48708;&#49328;&#46041;\BQ\NAE-3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날개벽수량표"/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단가 (2)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포장공"/>
      <sheetName val="중기일위대가"/>
      <sheetName val="일위대가"/>
      <sheetName val="에너지요금"/>
      <sheetName val="구역화물"/>
      <sheetName val="금액내역서"/>
      <sheetName val="방송(체육관)"/>
      <sheetName val="APT"/>
      <sheetName val="예정(3)"/>
      <sheetName val="G.R300경비"/>
      <sheetName val="덕전리"/>
      <sheetName val="DDD"/>
      <sheetName val="맨홀토공산출"/>
      <sheetName val="조명시설"/>
      <sheetName val="용소리교"/>
      <sheetName val="전선관"/>
      <sheetName val="일반교실"/>
      <sheetName val="조건표"/>
      <sheetName val="우,오수"/>
      <sheetName val="sw1"/>
      <sheetName val="TOTAL_BOQ"/>
      <sheetName val="단위수량"/>
      <sheetName val="물가시세"/>
      <sheetName val="연결임시"/>
      <sheetName val="Sheet1"/>
      <sheetName val="ABUT수량-A1"/>
      <sheetName val="토공(우물통,기타) "/>
      <sheetName val="설계내역서"/>
      <sheetName val="DATE"/>
      <sheetName val="대로근거"/>
      <sheetName val="실행철강하도"/>
      <sheetName val="배수공"/>
      <sheetName val="토사(PE)"/>
      <sheetName val="골막이(야매)"/>
      <sheetName val="말뚝지지력산정"/>
      <sheetName val="교각(P1)수량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6동"/>
      <sheetName val="산근"/>
      <sheetName val="교육종류"/>
      <sheetName val="파일의이용"/>
      <sheetName val="차액보증"/>
      <sheetName val="현장관리비"/>
      <sheetName val="TEST1"/>
      <sheetName val="총괄"/>
      <sheetName val="수량3"/>
      <sheetName val="내역"/>
      <sheetName val="2000년1차"/>
      <sheetName val="2공구산출내역"/>
      <sheetName val="식재가격"/>
      <sheetName val="식재총괄"/>
      <sheetName val="토목주소"/>
      <sheetName val="프랜트면허"/>
      <sheetName val="Sheet2"/>
      <sheetName val="cal"/>
      <sheetName val="계정"/>
      <sheetName val="암거"/>
      <sheetName val="집수정"/>
      <sheetName val="본체"/>
      <sheetName val="교각1"/>
      <sheetName val="내역서"/>
      <sheetName val="천방교접속"/>
      <sheetName val="가도공"/>
      <sheetName val="C-직노1"/>
      <sheetName val="포장수량"/>
      <sheetName val="아스팔트 포장총괄집계표"/>
      <sheetName val="2@ BOX"/>
      <sheetName val="구천"/>
      <sheetName val="input"/>
      <sheetName val="갑지"/>
      <sheetName val="집계표"/>
      <sheetName val="수량산출"/>
      <sheetName val="품셈TABLE"/>
      <sheetName val="노무비계"/>
      <sheetName val="wall"/>
      <sheetName val="산출근거"/>
      <sheetName val="기계경비"/>
      <sheetName val="#REF"/>
      <sheetName val="신우"/>
      <sheetName val="2000년 공정표"/>
      <sheetName val="공통가설공사"/>
      <sheetName val="6PILE  (돌출)"/>
      <sheetName val="SLAB"/>
      <sheetName val="슬래브"/>
      <sheetName val="1공구(입찰내역)"/>
      <sheetName val="2000전체분"/>
      <sheetName val="흥양2교토공집계표"/>
      <sheetName val="설계명세서"/>
      <sheetName val="예산명세서"/>
      <sheetName val="자료입력"/>
      <sheetName val="취수탑"/>
      <sheetName val="토목품셈"/>
      <sheetName val="공종"/>
      <sheetName val="수량집계"/>
      <sheetName val="단면검토"/>
      <sheetName val="설계조건"/>
      <sheetName val="대포2교접속"/>
      <sheetName val="우수공"/>
      <sheetName val="EP0618"/>
      <sheetName val="설비"/>
      <sheetName val="적용단가"/>
      <sheetName val="JUCKEYK"/>
      <sheetName val="시중노임단가"/>
      <sheetName val="인건비 "/>
      <sheetName val="Total"/>
      <sheetName val="토공"/>
      <sheetName val="터파기및재료"/>
      <sheetName val="자재단가"/>
      <sheetName val="2001계약현황"/>
      <sheetName val="입찰안"/>
      <sheetName val="동해title"/>
      <sheetName val="약품설비"/>
      <sheetName val="기초목"/>
      <sheetName val="일반문틀 설치"/>
      <sheetName val="샌딩 에폭시 도장"/>
      <sheetName val="스텐문틀설치"/>
      <sheetName val="사통"/>
      <sheetName val="기계경비일람"/>
      <sheetName val="구조물철거타공정이월"/>
      <sheetName val="구조물공"/>
      <sheetName val="부대공"/>
      <sheetName val="설계설명서"/>
      <sheetName val="CTEMCOST"/>
      <sheetName val="1호인버트수량"/>
      <sheetName val="2호맨홀공제수량"/>
      <sheetName val="관급"/>
      <sheetName val="날개벽"/>
      <sheetName val="총괄표"/>
      <sheetName val="골조시행"/>
      <sheetName val="일위대가목차"/>
      <sheetName val="자재비"/>
      <sheetName val="열린교실"/>
      <sheetName val="교사기준면적(초등)"/>
      <sheetName val="주방환기"/>
      <sheetName val="현장식당(1)"/>
      <sheetName val="자재 집계표"/>
      <sheetName val="시험비"/>
      <sheetName val="일위대가목록"/>
      <sheetName val="견적조건"/>
      <sheetName val="9811"/>
      <sheetName val="DNT OSBL"/>
      <sheetName val="1.설계조건"/>
      <sheetName val="온도 데이터"/>
      <sheetName val="내역서(증축)"/>
      <sheetName val="견"/>
      <sheetName val="원가계산"/>
      <sheetName val="내역(한신APT)"/>
      <sheetName val="기초자료입력"/>
      <sheetName val="원가계산서"/>
      <sheetName val="배관(TDI ISBL)"/>
      <sheetName val="기계경비목록"/>
      <sheetName val="unitpric"/>
      <sheetName val="noyim"/>
      <sheetName val="수량BOQ"/>
      <sheetName val="중로근거"/>
      <sheetName val="H-pile(298x299)"/>
      <sheetName val="H-pile(250x250)"/>
      <sheetName val="Preface"/>
      <sheetName val="Source"/>
      <sheetName val="부대공자재집계표"/>
      <sheetName val="단면"/>
      <sheetName val="을"/>
      <sheetName val="직공비"/>
      <sheetName val="INPUT(덕도방향-시점)"/>
      <sheetName val="유효성검사"/>
      <sheetName val="노임단가"/>
      <sheetName val="1,2공구원가계산서"/>
      <sheetName val="1공구산출내역서"/>
      <sheetName val="일위대가(가설)"/>
      <sheetName val="직노"/>
      <sheetName val="단가일람"/>
      <sheetName val="상 부"/>
      <sheetName val="Sheet17"/>
      <sheetName val="일위"/>
      <sheetName val="세원견적서"/>
      <sheetName val="01"/>
      <sheetName val="토공총괄표"/>
      <sheetName val="입찰보고"/>
      <sheetName val="금광1터널"/>
      <sheetName val="실행간접비용"/>
      <sheetName val="개요"/>
      <sheetName val="참고자료"/>
      <sheetName val="대장"/>
      <sheetName val="기술자관리"/>
      <sheetName val="공동업체"/>
      <sheetName val="공사진행현황"/>
      <sheetName val="하도계약"/>
      <sheetName val="보증 및 분담"/>
      <sheetName val="MOTOR"/>
      <sheetName val="횡배위치"/>
      <sheetName val="단면 (2)"/>
      <sheetName val="측구공"/>
      <sheetName val="tggwan(mac)"/>
      <sheetName val="1.취수장"/>
      <sheetName val="기초산출"/>
      <sheetName val="접속도로1"/>
      <sheetName val="설계기준 및 하중계산"/>
      <sheetName val="시설일위"/>
      <sheetName val="시화점실행"/>
      <sheetName val="공량산출서"/>
      <sheetName val="재료"/>
      <sheetName val="원형맨홀수량"/>
      <sheetName val="제진기"/>
      <sheetName val="조도계산"/>
      <sheetName val="CC16-내역서"/>
      <sheetName val="상반기손익차2총괄"/>
      <sheetName val="96.12"/>
      <sheetName val="부대tu"/>
      <sheetName val="PIPE내역(FCN)"/>
      <sheetName val="4.본실행통합내역서"/>
      <sheetName val="1호토공"/>
      <sheetName val="1.설계기준"/>
      <sheetName val="6호기"/>
      <sheetName val="배수통관(좌)"/>
      <sheetName val="평택분"/>
      <sheetName val="우수"/>
      <sheetName val="내역서적용수량"/>
      <sheetName val="9509"/>
      <sheetName val="현장경상비"/>
      <sheetName val="데리네이타현황"/>
      <sheetName val="단가산출서"/>
      <sheetName val="절대건들지마시오"/>
      <sheetName val="252K444"/>
      <sheetName val="하도급품의서(갑지)"/>
      <sheetName val="01.가성울타리공사원가"/>
      <sheetName val="01.가설울타리공사내역서"/>
      <sheetName val="02.토공사원가"/>
      <sheetName val="02.토공사내역서"/>
      <sheetName val="03.설비공사원가"/>
      <sheetName val="03.설비공사내역서"/>
      <sheetName val="04.전기공사원가"/>
      <sheetName val="04.전기공사내역서"/>
      <sheetName val="05.창호공사원가"/>
      <sheetName val="05.창호공사내역서"/>
      <sheetName val="06.석공사원가"/>
      <sheetName val="06.석공사내역서"/>
      <sheetName val="07.외벽단열재 설치공사원가"/>
      <sheetName val="07.외벽단열재 설치공사내역서"/>
      <sheetName val="08.습식공사원가"/>
      <sheetName val="08.습식공사내역서"/>
      <sheetName val="09.철골공사원가"/>
      <sheetName val="09.철골공사내역서"/>
      <sheetName val="10.외단열토탈시스템공사원가"/>
      <sheetName val="10.외단열토탈시스템공사내역서"/>
      <sheetName val="11.금속공사원가"/>
      <sheetName val="11.금속공사내역서"/>
      <sheetName val="12.수장공사원가"/>
      <sheetName val="12.수장공사내역서"/>
      <sheetName val="13.유리공사원가"/>
      <sheetName val="13.유리공사내역서"/>
      <sheetName val="14.도장공사원가"/>
      <sheetName val="14.도장공사내역서"/>
      <sheetName val="15.조경공사원가"/>
      <sheetName val="15.조경공사내역서"/>
      <sheetName val="16.전열교환기공사원가"/>
      <sheetName val="16.전열교환기공사내역서"/>
      <sheetName val="17.철근콘크리트공사원가"/>
      <sheetName val="17.철근콘크리트공사내역서"/>
      <sheetName val="단중표"/>
      <sheetName val="수로단위수량"/>
      <sheetName val="조명일위"/>
      <sheetName val="기초일위"/>
      <sheetName val="인부신상자료"/>
      <sheetName val="교각계산"/>
      <sheetName val="EQT-ESTN"/>
      <sheetName val="순성토"/>
      <sheetName val="로라게이트 문틀설치"/>
      <sheetName val="기성내역"/>
      <sheetName val="3연box"/>
      <sheetName val="단 box"/>
      <sheetName val="수안보-MBR1"/>
      <sheetName val="3.하중산정4.지지력"/>
      <sheetName val="노임"/>
      <sheetName val="수량산출(1)"/>
      <sheetName val="노무비단가"/>
      <sheetName val="I一般比"/>
      <sheetName val="다곡2교"/>
      <sheetName val="금액"/>
      <sheetName val="본댐설계"/>
      <sheetName val="별표 "/>
      <sheetName val="설계명세"/>
      <sheetName val="2-1.실별부하계산"/>
      <sheetName val="단가"/>
      <sheetName val="Option"/>
      <sheetName val="(10) 단가산출결과"/>
      <sheetName val="기계공사"/>
      <sheetName val="단위집계표"/>
      <sheetName val="RangeObject"/>
      <sheetName val="건축"/>
      <sheetName val="계수시트"/>
      <sheetName val="DATA 입력란"/>
      <sheetName val="1. 설계조건 2.단면가정 3. 하중계산"/>
      <sheetName val="오억미만"/>
      <sheetName val="ENE-CAL 1"/>
      <sheetName val="단양 00 아파트-세부내역"/>
      <sheetName val="견적대비 견적서"/>
      <sheetName val="손익분석"/>
      <sheetName val="보차도경계석"/>
      <sheetName val="경산"/>
      <sheetName val="Sheet1 (2)"/>
      <sheetName val="TIE-IN"/>
      <sheetName val="P_E이중관보호공800(터파기)1"/>
      <sheetName val="P_E이중관보호공8001"/>
      <sheetName val="단가_(2)"/>
      <sheetName val="G_R300경비"/>
      <sheetName val="토공(우물통,기타)_"/>
      <sheetName val="3BL공동구_수량"/>
      <sheetName val="빌딩_안내"/>
      <sheetName val="장비비"/>
      <sheetName val="대비"/>
      <sheetName val="CODE"/>
      <sheetName val="기본설계기준"/>
      <sheetName val="직재"/>
      <sheetName val="DATA"/>
      <sheetName val="마감사양"/>
      <sheetName val="구간별"/>
      <sheetName val="마산방향철근집계"/>
      <sheetName val="진주방향"/>
      <sheetName val="마산방향"/>
      <sheetName val="약품공급2"/>
      <sheetName val="단면가정"/>
      <sheetName val="우배수"/>
      <sheetName val="제직재"/>
      <sheetName val="설직재-1"/>
      <sheetName val="제-노임"/>
      <sheetName val="기둥(원형)"/>
      <sheetName val="설계예시"/>
      <sheetName val="대창(함평)"/>
      <sheetName val="대창(장성)"/>
      <sheetName val="대창(함평)-창열"/>
      <sheetName val="WORK"/>
      <sheetName val="횡배수관토공수량"/>
      <sheetName val="표층포설및다짐"/>
      <sheetName val="부재력정리"/>
      <sheetName val="2층LOAD"/>
      <sheetName val="공조기설계(게파트)"/>
      <sheetName val="98수문일위"/>
      <sheetName val="합천내역"/>
      <sheetName val="DI-ESTI"/>
      <sheetName val="일반수량"/>
      <sheetName val="철집"/>
      <sheetName val="간지"/>
      <sheetName val="설계산출표지"/>
      <sheetName val="조달청적격심사"/>
      <sheetName val="COVER"/>
      <sheetName val="부분별자중"/>
      <sheetName val="구룡간선입력"/>
      <sheetName val="이자율"/>
      <sheetName val="데이타"/>
      <sheetName val="일위대가표"/>
      <sheetName val="연부97-1"/>
      <sheetName val="배수내역"/>
      <sheetName val="설계변경 내역서"/>
      <sheetName val="인사자료총집계"/>
      <sheetName val="금호"/>
      <sheetName val="신당동집계표"/>
      <sheetName val="수주추정"/>
      <sheetName val="노임이"/>
      <sheetName val="투찰금액"/>
      <sheetName val="밸브설치"/>
      <sheetName val="INDEX"/>
      <sheetName val="증감내역서"/>
      <sheetName val="일계표"/>
      <sheetName val="1.2.1 마루높이결정"/>
      <sheetName val="운동장 (2)"/>
      <sheetName val="우각부검토"/>
      <sheetName val="7.전산해석결과"/>
      <sheetName val="4.하중"/>
      <sheetName val="TYPE-A"/>
      <sheetName val="최적단면"/>
      <sheetName val="DONGIA"/>
      <sheetName val="납부서"/>
      <sheetName val="난간벽단위"/>
      <sheetName val="Requirement(Work Crew)"/>
      <sheetName val="깨기"/>
      <sheetName val="9월"/>
      <sheetName val="04년4월"/>
      <sheetName val="04년3월"/>
      <sheetName val="04년5월"/>
      <sheetName val="04년2월"/>
      <sheetName val="04년1월"/>
      <sheetName val="03년12월"/>
      <sheetName val="10월"/>
      <sheetName val="11월"/>
      <sheetName val="6월"/>
      <sheetName val="7월"/>
      <sheetName val="8월"/>
      <sheetName val="양수장내역"/>
      <sheetName val="양수장"/>
      <sheetName val="내역서01"/>
      <sheetName val="총괄내역서"/>
      <sheetName val="터파기연장산출"/>
      <sheetName val="가격조사서"/>
      <sheetName val="N賃率-職"/>
      <sheetName val="인건-측정"/>
      <sheetName val="도기류"/>
      <sheetName val="구간별관경"/>
      <sheetName val="단가산출서(기계)"/>
      <sheetName val="변수표"/>
      <sheetName val="MAT"/>
      <sheetName val="유림골조"/>
      <sheetName val="일위대가(당초)"/>
      <sheetName val="중기조종사 단위단가"/>
      <sheetName val="맨홀수량산출(A-LINE)"/>
      <sheetName val="(5)"/>
      <sheetName val="잡철물"/>
      <sheetName val="경비"/>
      <sheetName val="인건비"/>
      <sheetName val="45,46"/>
      <sheetName val="맨홀수량산출"/>
      <sheetName val="식재인부"/>
      <sheetName val="무산소조"/>
      <sheetName val="단가표"/>
      <sheetName val="갑지(추정)"/>
      <sheetName val="내역서1999.8최종"/>
      <sheetName val="전기"/>
      <sheetName val="FRP PIPING 일위대가"/>
      <sheetName val="개산공사비"/>
      <sheetName val="기안"/>
      <sheetName val="표지"/>
      <sheetName val="SG"/>
      <sheetName val="단가조사"/>
      <sheetName val="EJ"/>
      <sheetName val="진천방향"/>
      <sheetName val="연습"/>
      <sheetName val="관로부문"/>
      <sheetName val="정렬"/>
      <sheetName val="물량표"/>
      <sheetName val="기계내역서"/>
      <sheetName val="철근량"/>
      <sheetName val="b_balju"/>
      <sheetName val="견적서"/>
      <sheetName val="관로토공"/>
      <sheetName val="퍼스트"/>
      <sheetName val="원가계산서구조조정"/>
      <sheetName val="sub"/>
      <sheetName val="설계내역2"/>
      <sheetName val="위치조서"/>
      <sheetName val="토목"/>
      <sheetName val="골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가설공사"/>
      <sheetName val="파일공사"/>
      <sheetName val="철근콘크리트공사"/>
      <sheetName val="조적공사"/>
      <sheetName val="방수공사"/>
      <sheetName val="미장공사"/>
      <sheetName val="타일공사"/>
      <sheetName val="목공사"/>
      <sheetName val="수장공사"/>
      <sheetName val="가구공사"/>
      <sheetName val="도장공사 "/>
      <sheetName val="금속공사"/>
      <sheetName val="창호공사"/>
      <sheetName val="유리공사"/>
      <sheetName val="지붕및홈통공사"/>
      <sheetName val="잡공사"/>
      <sheetName val="일반부표"/>
      <sheetName val="날개벽수량표"/>
      <sheetName val="산출내역서집계표"/>
      <sheetName val="갈현동"/>
      <sheetName val="파이프류"/>
      <sheetName val="내역서"/>
      <sheetName val="실행철강하도"/>
      <sheetName val="원가서"/>
      <sheetName val="자재단가"/>
      <sheetName val="남대문빌딩"/>
      <sheetName val="단중표"/>
      <sheetName val="전기단가조사서"/>
      <sheetName val="설계명세"/>
      <sheetName val="내역단가"/>
      <sheetName val="일위단가"/>
      <sheetName val="세부내역"/>
      <sheetName val="노임단가"/>
      <sheetName val="NAE-302"/>
      <sheetName val="수목단가"/>
      <sheetName val="시설수량표"/>
      <sheetName val="식재수량표"/>
      <sheetName val="일위목록"/>
      <sheetName val="수목표준대가"/>
      <sheetName val="98수문일위"/>
      <sheetName val="건축내역"/>
      <sheetName val="실행내역서 "/>
      <sheetName val="단가산출"/>
      <sheetName val="DATE"/>
      <sheetName val="9811"/>
      <sheetName val="7단가"/>
      <sheetName val="공사개요"/>
      <sheetName val="집계표"/>
      <sheetName val="원가계산 (2)"/>
      <sheetName val="수량산출"/>
      <sheetName val="연습"/>
      <sheetName val="조도계산"/>
      <sheetName val="일위대가(가설)"/>
      <sheetName val="노임단가표"/>
      <sheetName val="단가조사서"/>
      <sheetName val="코드"/>
      <sheetName val="시운전연료"/>
      <sheetName val="99 조정금액"/>
      <sheetName val="맨홀조서"/>
      <sheetName val="O＆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G22"/>
  <sheetViews>
    <sheetView showZeros="0" tabSelected="1" view="pageBreakPreview" zoomScale="50" zoomScaleNormal="50" zoomScaleSheetLayoutView="70" workbookViewId="0">
      <selection activeCell="A18" sqref="A18"/>
    </sheetView>
  </sheetViews>
  <sheetFormatPr defaultRowHeight="38.25" customHeight="1"/>
  <cols>
    <col min="1" max="1" width="129.375" style="90" customWidth="1"/>
    <col min="2" max="2" width="7.25" style="90" customWidth="1"/>
    <col min="3" max="3" width="6.125" style="90" customWidth="1"/>
    <col min="4" max="4" width="11.75" style="92" customWidth="1"/>
    <col min="5" max="5" width="7" style="93" customWidth="1"/>
    <col min="6" max="6" width="7.875" style="87" customWidth="1"/>
    <col min="7" max="7" width="2.25" style="87" customWidth="1"/>
    <col min="8" max="10" width="10.5" style="87" customWidth="1"/>
    <col min="11" max="11" width="23.625" style="87" customWidth="1"/>
    <col min="12" max="160" width="9" style="87"/>
    <col min="161" max="16384" width="9" style="88"/>
  </cols>
  <sheetData>
    <row r="1" spans="1:163" ht="38.25" customHeight="1">
      <c r="A1" s="83"/>
      <c r="B1" s="83"/>
      <c r="C1" s="83"/>
      <c r="D1" s="84"/>
      <c r="E1" s="85"/>
      <c r="F1" s="86"/>
      <c r="G1" s="86"/>
      <c r="H1" s="86"/>
      <c r="I1" s="86"/>
      <c r="J1" s="86"/>
      <c r="K1" s="86"/>
    </row>
    <row r="2" spans="1:163" ht="39.75" customHeight="1">
      <c r="A2" s="83"/>
      <c r="B2" s="83"/>
      <c r="C2" s="83"/>
      <c r="D2" s="84"/>
      <c r="E2" s="85"/>
      <c r="F2" s="86"/>
      <c r="G2" s="86"/>
      <c r="H2" s="86"/>
      <c r="I2" s="86"/>
      <c r="J2" s="86"/>
      <c r="K2" s="86"/>
    </row>
    <row r="3" spans="1:163" ht="144" customHeight="1">
      <c r="A3" s="110" t="s">
        <v>535</v>
      </c>
      <c r="B3" s="111"/>
      <c r="C3" s="111"/>
      <c r="D3" s="111"/>
      <c r="E3" s="111"/>
      <c r="F3" s="111"/>
      <c r="G3" s="111"/>
      <c r="H3" s="111"/>
      <c r="I3" s="112"/>
      <c r="J3" s="112"/>
      <c r="K3" s="112"/>
    </row>
    <row r="4" spans="1:163" ht="39.950000000000003" customHeight="1">
      <c r="A4" s="106"/>
      <c r="B4" s="107"/>
      <c r="C4" s="107"/>
      <c r="D4" s="107"/>
      <c r="E4" s="107"/>
      <c r="F4" s="107"/>
      <c r="G4" s="107"/>
      <c r="H4" s="107"/>
      <c r="I4" s="108"/>
      <c r="J4" s="108"/>
      <c r="K4" s="108"/>
    </row>
    <row r="5" spans="1:163" ht="55.5" customHeight="1">
      <c r="A5" s="106" t="s">
        <v>528</v>
      </c>
      <c r="B5" s="107"/>
      <c r="C5" s="107"/>
      <c r="D5" s="107"/>
      <c r="E5" s="107"/>
      <c r="F5" s="107"/>
      <c r="G5" s="107"/>
      <c r="H5" s="107"/>
      <c r="I5" s="108"/>
      <c r="J5" s="108"/>
      <c r="K5" s="108"/>
    </row>
    <row r="6" spans="1:163" ht="39.950000000000003" customHeight="1">
      <c r="A6" s="83"/>
      <c r="B6" s="89"/>
      <c r="C6" s="83"/>
      <c r="D6" s="84"/>
      <c r="E6" s="85"/>
      <c r="F6" s="86"/>
      <c r="G6" s="86"/>
      <c r="H6" s="86"/>
      <c r="I6" s="86"/>
      <c r="J6" s="86"/>
      <c r="K6" s="86"/>
    </row>
    <row r="7" spans="1:163" ht="45.75" customHeight="1">
      <c r="A7" s="83"/>
      <c r="B7" s="89"/>
      <c r="C7" s="83"/>
      <c r="D7" s="84"/>
      <c r="E7" s="85"/>
      <c r="F7" s="86"/>
      <c r="G7" s="86"/>
      <c r="H7" s="86"/>
      <c r="I7" s="86"/>
      <c r="J7" s="86"/>
      <c r="K7" s="86"/>
    </row>
    <row r="8" spans="1:163" ht="261.75" customHeight="1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63" ht="42" customHeight="1">
      <c r="A9" s="106"/>
      <c r="B9" s="109"/>
      <c r="C9" s="109"/>
      <c r="D9" s="109"/>
      <c r="E9" s="109"/>
      <c r="F9" s="109"/>
      <c r="G9" s="109"/>
      <c r="H9" s="109"/>
    </row>
    <row r="10" spans="1:163" ht="42" customHeight="1">
      <c r="A10" s="106"/>
      <c r="B10" s="109"/>
      <c r="C10" s="109"/>
      <c r="D10" s="109"/>
      <c r="E10" s="109"/>
      <c r="F10" s="109"/>
      <c r="G10" s="109"/>
      <c r="H10" s="109"/>
    </row>
    <row r="11" spans="1:163" ht="49.5" customHeight="1">
      <c r="A11" s="105" t="s">
        <v>529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FE11" s="87"/>
      <c r="FF11" s="87"/>
      <c r="FG11" s="87"/>
    </row>
    <row r="12" spans="1:163" ht="39.950000000000003" customHeight="1">
      <c r="A12" s="83"/>
      <c r="B12" s="89"/>
      <c r="C12" s="83"/>
      <c r="D12" s="84"/>
      <c r="E12" s="85"/>
      <c r="F12" s="86"/>
      <c r="G12" s="86"/>
      <c r="H12" s="86"/>
      <c r="I12" s="86"/>
      <c r="J12" s="86"/>
      <c r="K12" s="86"/>
    </row>
    <row r="13" spans="1:163" ht="39.950000000000003" customHeight="1">
      <c r="A13" s="83"/>
      <c r="B13" s="89"/>
      <c r="C13" s="83"/>
      <c r="D13" s="84"/>
      <c r="E13" s="85"/>
      <c r="F13" s="86"/>
      <c r="G13" s="86"/>
      <c r="H13" s="86"/>
      <c r="I13" s="86"/>
      <c r="J13" s="86"/>
      <c r="K13" s="86"/>
    </row>
    <row r="14" spans="1:163" ht="55.5" customHeight="1">
      <c r="A14" s="106"/>
      <c r="B14" s="107"/>
      <c r="C14" s="107"/>
      <c r="D14" s="107"/>
      <c r="E14" s="107"/>
      <c r="F14" s="107"/>
      <c r="G14" s="107"/>
      <c r="H14" s="107"/>
      <c r="I14" s="108"/>
      <c r="J14" s="108"/>
      <c r="K14" s="108"/>
    </row>
    <row r="15" spans="1:163" ht="42" customHeight="1">
      <c r="A15" s="106"/>
      <c r="B15" s="109"/>
      <c r="C15" s="109"/>
      <c r="D15" s="109"/>
      <c r="E15" s="109"/>
      <c r="F15" s="109"/>
      <c r="G15" s="109"/>
      <c r="H15" s="109"/>
    </row>
    <row r="16" spans="1:163" ht="42" customHeight="1">
      <c r="B16" s="91"/>
    </row>
    <row r="17" spans="2:2" ht="85.5" customHeight="1">
      <c r="B17" s="91"/>
    </row>
    <row r="18" spans="2:2" ht="85.5" customHeight="1">
      <c r="B18" s="91"/>
    </row>
    <row r="19" spans="2:2" ht="38.25" customHeight="1">
      <c r="B19" s="91"/>
    </row>
    <row r="20" spans="2:2" ht="38.25" customHeight="1">
      <c r="B20" s="91"/>
    </row>
    <row r="21" spans="2:2" ht="38.25" customHeight="1">
      <c r="B21" s="94"/>
    </row>
    <row r="22" spans="2:2" ht="38.25" customHeight="1">
      <c r="B22" s="95"/>
    </row>
  </sheetData>
  <mergeCells count="9">
    <mergeCell ref="A11:K11"/>
    <mergeCell ref="A14:K14"/>
    <mergeCell ref="A15:H15"/>
    <mergeCell ref="A3:K3"/>
    <mergeCell ref="A4:K4"/>
    <mergeCell ref="A5:K5"/>
    <mergeCell ref="A8:K8"/>
    <mergeCell ref="A9:H9"/>
    <mergeCell ref="A10:H10"/>
  </mergeCells>
  <phoneticPr fontId="1" type="noConversion"/>
  <pageMargins left="0.78740157480314965" right="0.39370078740157483" top="0.6692913385826772" bottom="0.59055118110236227" header="0.43307086614173229" footer="0.35433070866141736"/>
  <pageSetup paperSize="9" scale="55" pageOrder="overThenDown" orientation="landscape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9D86"/>
  </sheetPr>
  <dimension ref="A1:O2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19" sqref="K19"/>
    </sheetView>
  </sheetViews>
  <sheetFormatPr defaultRowHeight="16.5"/>
  <cols>
    <col min="1" max="1" width="7.625" style="3" customWidth="1"/>
    <col min="2" max="3" width="18.625" style="2" customWidth="1"/>
    <col min="4" max="4" width="4.625" style="3" customWidth="1"/>
    <col min="5" max="5" width="6.625" style="3" customWidth="1"/>
    <col min="6" max="6" width="6.625" style="4" customWidth="1"/>
    <col min="7" max="7" width="7.625" style="4" customWidth="1"/>
    <col min="8" max="8" width="6.625" style="4" customWidth="1"/>
    <col min="9" max="9" width="7.625" style="4" customWidth="1"/>
    <col min="10" max="10" width="6.625" style="4" customWidth="1"/>
    <col min="11" max="11" width="7.625" style="4" customWidth="1"/>
    <col min="12" max="12" width="6.625" style="4" customWidth="1"/>
    <col min="13" max="13" width="7.625" style="4" customWidth="1"/>
    <col min="14" max="14" width="6.625" style="2" customWidth="1"/>
    <col min="15" max="18" width="0" hidden="1" customWidth="1"/>
  </cols>
  <sheetData>
    <row r="1" spans="1:15" ht="30" customHeight="1">
      <c r="A1" s="118" t="s">
        <v>311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ht="20.100000000000001" customHeight="1">
      <c r="A2" s="119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ht="20.100000000000001" customHeight="1">
      <c r="A3" s="127" t="s">
        <v>198</v>
      </c>
      <c r="B3" s="127" t="s">
        <v>7</v>
      </c>
      <c r="C3" s="127" t="s">
        <v>8</v>
      </c>
      <c r="D3" s="127" t="s">
        <v>9</v>
      </c>
      <c r="E3" s="127" t="s">
        <v>201</v>
      </c>
      <c r="F3" s="127" t="s">
        <v>202</v>
      </c>
      <c r="G3" s="127"/>
      <c r="H3" s="127" t="s">
        <v>203</v>
      </c>
      <c r="I3" s="127"/>
      <c r="J3" s="127" t="s">
        <v>204</v>
      </c>
      <c r="K3" s="127"/>
      <c r="L3" s="127" t="s">
        <v>205</v>
      </c>
      <c r="M3" s="127"/>
      <c r="N3" s="127" t="s">
        <v>40</v>
      </c>
    </row>
    <row r="4" spans="1:15" ht="20.100000000000001" customHeight="1">
      <c r="A4" s="127"/>
      <c r="B4" s="127"/>
      <c r="C4" s="127"/>
      <c r="D4" s="127"/>
      <c r="E4" s="127"/>
      <c r="F4" s="5" t="s">
        <v>41</v>
      </c>
      <c r="G4" s="5" t="s">
        <v>42</v>
      </c>
      <c r="H4" s="5" t="s">
        <v>41</v>
      </c>
      <c r="I4" s="5" t="s">
        <v>42</v>
      </c>
      <c r="J4" s="5" t="s">
        <v>41</v>
      </c>
      <c r="K4" s="5" t="s">
        <v>42</v>
      </c>
      <c r="L4" s="5" t="s">
        <v>41</v>
      </c>
      <c r="M4" s="5" t="s">
        <v>42</v>
      </c>
      <c r="N4" s="127"/>
      <c r="O4" t="s">
        <v>49</v>
      </c>
    </row>
    <row r="5" spans="1:15" ht="20.100000000000001" customHeight="1">
      <c r="A5" s="40" t="s">
        <v>312</v>
      </c>
      <c r="B5" s="38" t="s">
        <v>313</v>
      </c>
      <c r="C5" s="38" t="s">
        <v>314</v>
      </c>
      <c r="D5" s="40" t="s">
        <v>315</v>
      </c>
      <c r="E5" s="46"/>
      <c r="F5" s="47"/>
      <c r="G5" s="47"/>
      <c r="H5" s="47"/>
      <c r="I5" s="47"/>
      <c r="J5" s="47"/>
      <c r="K5" s="47"/>
      <c r="L5" s="47"/>
      <c r="M5" s="47"/>
      <c r="N5" s="39"/>
    </row>
    <row r="6" spans="1:15" ht="20.100000000000001" customHeight="1">
      <c r="A6" s="40" t="s">
        <v>316</v>
      </c>
      <c r="B6" s="38" t="s">
        <v>317</v>
      </c>
      <c r="C6" s="38" t="s">
        <v>314</v>
      </c>
      <c r="D6" s="40" t="s">
        <v>315</v>
      </c>
      <c r="E6" s="46"/>
      <c r="F6" s="47"/>
      <c r="G6" s="47"/>
      <c r="H6" s="47"/>
      <c r="I6" s="47"/>
      <c r="J6" s="47"/>
      <c r="K6" s="47"/>
      <c r="L6" s="47"/>
      <c r="M6" s="47"/>
      <c r="N6" s="39"/>
    </row>
    <row r="7" spans="1:15" ht="20.100000000000001" customHeight="1">
      <c r="A7" s="40" t="s">
        <v>318</v>
      </c>
      <c r="B7" s="38" t="s">
        <v>319</v>
      </c>
      <c r="C7" s="38" t="s">
        <v>53</v>
      </c>
      <c r="D7" s="40" t="s">
        <v>23</v>
      </c>
      <c r="E7" s="46"/>
      <c r="F7" s="47"/>
      <c r="G7" s="47"/>
      <c r="H7" s="47"/>
      <c r="I7" s="47"/>
      <c r="J7" s="47"/>
      <c r="K7" s="47"/>
      <c r="L7" s="47"/>
      <c r="M7" s="47"/>
      <c r="N7" s="38"/>
    </row>
    <row r="8" spans="1:15" ht="20.100000000000001" customHeight="1">
      <c r="A8" s="40" t="s">
        <v>320</v>
      </c>
      <c r="B8" s="38" t="s">
        <v>321</v>
      </c>
      <c r="C8" s="38" t="s">
        <v>322</v>
      </c>
      <c r="D8" s="40" t="s">
        <v>315</v>
      </c>
      <c r="E8" s="46"/>
      <c r="F8" s="47"/>
      <c r="G8" s="47"/>
      <c r="H8" s="47"/>
      <c r="I8" s="47"/>
      <c r="J8" s="47"/>
      <c r="K8" s="47"/>
      <c r="L8" s="47"/>
      <c r="M8" s="47"/>
      <c r="N8" s="39"/>
    </row>
    <row r="9" spans="1:15" ht="20.100000000000001" customHeight="1">
      <c r="A9" s="46"/>
      <c r="B9" s="39"/>
      <c r="C9" s="39"/>
      <c r="D9" s="46"/>
      <c r="E9" s="46"/>
      <c r="F9" s="47"/>
      <c r="G9" s="47"/>
      <c r="H9" s="47"/>
      <c r="I9" s="47"/>
      <c r="J9" s="47"/>
      <c r="K9" s="47"/>
      <c r="L9" s="47"/>
      <c r="M9" s="47"/>
      <c r="N9" s="39"/>
    </row>
    <row r="10" spans="1:15" ht="20.100000000000001" customHeight="1">
      <c r="A10" s="46"/>
      <c r="B10" s="39"/>
      <c r="C10" s="39"/>
      <c r="D10" s="46"/>
      <c r="E10" s="46"/>
      <c r="F10" s="47"/>
      <c r="G10" s="47"/>
      <c r="H10" s="47"/>
      <c r="I10" s="47"/>
      <c r="J10" s="47"/>
      <c r="K10" s="47"/>
      <c r="L10" s="47"/>
      <c r="M10" s="47"/>
      <c r="N10" s="39"/>
    </row>
    <row r="11" spans="1:15" ht="20.100000000000001" customHeight="1">
      <c r="A11" s="46"/>
      <c r="B11" s="39"/>
      <c r="C11" s="39"/>
      <c r="D11" s="46"/>
      <c r="E11" s="46"/>
      <c r="F11" s="47"/>
      <c r="G11" s="47"/>
      <c r="H11" s="47"/>
      <c r="I11" s="47"/>
      <c r="J11" s="47"/>
      <c r="K11" s="47"/>
      <c r="L11" s="47"/>
      <c r="M11" s="47"/>
      <c r="N11" s="39"/>
    </row>
    <row r="12" spans="1:15" ht="20.100000000000001" customHeight="1">
      <c r="A12" s="46"/>
      <c r="B12" s="39"/>
      <c r="C12" s="39"/>
      <c r="D12" s="46"/>
      <c r="E12" s="46"/>
      <c r="F12" s="47"/>
      <c r="G12" s="47"/>
      <c r="H12" s="47"/>
      <c r="I12" s="47"/>
      <c r="J12" s="47"/>
      <c r="K12" s="47"/>
      <c r="L12" s="47"/>
      <c r="M12" s="47"/>
      <c r="N12" s="39"/>
    </row>
    <row r="13" spans="1:15" ht="20.100000000000001" customHeight="1">
      <c r="A13" s="46"/>
      <c r="B13" s="39"/>
      <c r="C13" s="39"/>
      <c r="D13" s="46"/>
      <c r="E13" s="46"/>
      <c r="F13" s="47"/>
      <c r="G13" s="47"/>
      <c r="H13" s="47"/>
      <c r="I13" s="47"/>
      <c r="J13" s="47"/>
      <c r="K13" s="47"/>
      <c r="L13" s="47"/>
      <c r="M13" s="47"/>
      <c r="N13" s="39"/>
    </row>
    <row r="14" spans="1:15" ht="20.100000000000001" customHeight="1">
      <c r="A14" s="46"/>
      <c r="B14" s="39"/>
      <c r="C14" s="39"/>
      <c r="D14" s="46"/>
      <c r="E14" s="46"/>
      <c r="F14" s="47"/>
      <c r="G14" s="47"/>
      <c r="H14" s="47"/>
      <c r="I14" s="47"/>
      <c r="J14" s="47"/>
      <c r="K14" s="47"/>
      <c r="L14" s="47"/>
      <c r="M14" s="47"/>
      <c r="N14" s="39"/>
    </row>
    <row r="15" spans="1:15" ht="20.100000000000001" customHeight="1">
      <c r="A15" s="46"/>
      <c r="B15" s="39"/>
      <c r="C15" s="39"/>
      <c r="D15" s="46"/>
      <c r="E15" s="46"/>
      <c r="F15" s="47"/>
      <c r="G15" s="47"/>
      <c r="H15" s="47"/>
      <c r="I15" s="47"/>
      <c r="J15" s="47"/>
      <c r="K15" s="47"/>
      <c r="L15" s="47"/>
      <c r="M15" s="47"/>
      <c r="N15" s="39"/>
    </row>
    <row r="16" spans="1:15" ht="20.100000000000001" customHeight="1">
      <c r="A16" s="46"/>
      <c r="B16" s="39"/>
      <c r="C16" s="39"/>
      <c r="D16" s="46"/>
      <c r="E16" s="46"/>
      <c r="F16" s="47"/>
      <c r="G16" s="47"/>
      <c r="H16" s="47"/>
      <c r="I16" s="47"/>
      <c r="J16" s="47"/>
      <c r="K16" s="47"/>
      <c r="L16" s="47"/>
      <c r="M16" s="47"/>
      <c r="N16" s="39"/>
    </row>
    <row r="17" spans="1:14" ht="20.100000000000001" customHeight="1">
      <c r="A17" s="46"/>
      <c r="B17" s="39"/>
      <c r="C17" s="39"/>
      <c r="D17" s="46"/>
      <c r="E17" s="46"/>
      <c r="F17" s="47"/>
      <c r="G17" s="47"/>
      <c r="H17" s="47"/>
      <c r="I17" s="47"/>
      <c r="J17" s="47"/>
      <c r="K17" s="47"/>
      <c r="L17" s="47"/>
      <c r="M17" s="47"/>
      <c r="N17" s="39"/>
    </row>
    <row r="18" spans="1:14" ht="20.100000000000001" customHeight="1">
      <c r="A18" s="46"/>
      <c r="B18" s="39"/>
      <c r="C18" s="39"/>
      <c r="D18" s="46"/>
      <c r="E18" s="46"/>
      <c r="F18" s="47"/>
      <c r="G18" s="47"/>
      <c r="H18" s="47"/>
      <c r="I18" s="47"/>
      <c r="J18" s="47"/>
      <c r="K18" s="47"/>
      <c r="L18" s="47"/>
      <c r="M18" s="47"/>
      <c r="N18" s="39"/>
    </row>
    <row r="19" spans="1:14" ht="20.100000000000001" customHeight="1">
      <c r="A19" s="46"/>
      <c r="B19" s="39"/>
      <c r="C19" s="39"/>
      <c r="D19" s="46"/>
      <c r="E19" s="46"/>
      <c r="F19" s="47"/>
      <c r="G19" s="47"/>
      <c r="H19" s="47"/>
      <c r="I19" s="47"/>
      <c r="J19" s="47"/>
      <c r="K19" s="47"/>
      <c r="L19" s="47"/>
      <c r="M19" s="47"/>
      <c r="N19" s="39"/>
    </row>
    <row r="20" spans="1:14" ht="20.100000000000001" customHeight="1">
      <c r="A20" s="46"/>
      <c r="B20" s="39"/>
      <c r="C20" s="39"/>
      <c r="D20" s="46"/>
      <c r="E20" s="46"/>
      <c r="F20" s="47"/>
      <c r="G20" s="47"/>
      <c r="H20" s="47"/>
      <c r="I20" s="47"/>
      <c r="J20" s="47"/>
      <c r="K20" s="47"/>
      <c r="L20" s="47"/>
      <c r="M20" s="47"/>
      <c r="N20" s="39"/>
    </row>
    <row r="21" spans="1:14" ht="20.100000000000001" customHeight="1">
      <c r="A21" s="46"/>
      <c r="B21" s="39"/>
      <c r="C21" s="39"/>
      <c r="D21" s="46"/>
      <c r="E21" s="46"/>
      <c r="F21" s="47"/>
      <c r="G21" s="47"/>
      <c r="H21" s="47"/>
      <c r="I21" s="47"/>
      <c r="J21" s="47"/>
      <c r="K21" s="47"/>
      <c r="L21" s="47"/>
      <c r="M21" s="47"/>
      <c r="N21" s="39"/>
    </row>
    <row r="22" spans="1:14" ht="20.100000000000001" customHeight="1">
      <c r="A22" s="46"/>
      <c r="B22" s="39"/>
      <c r="C22" s="39"/>
      <c r="D22" s="46"/>
      <c r="E22" s="46"/>
      <c r="F22" s="47"/>
      <c r="G22" s="47"/>
      <c r="H22" s="47"/>
      <c r="I22" s="47"/>
      <c r="J22" s="47"/>
      <c r="K22" s="47"/>
      <c r="L22" s="47"/>
      <c r="M22" s="47"/>
      <c r="N22" s="39"/>
    </row>
    <row r="23" spans="1:14" ht="20.100000000000001" customHeight="1">
      <c r="A23" s="46"/>
      <c r="B23" s="39"/>
      <c r="C23" s="39"/>
      <c r="D23" s="46"/>
      <c r="E23" s="46"/>
      <c r="F23" s="47"/>
      <c r="G23" s="47"/>
      <c r="H23" s="47"/>
      <c r="I23" s="47"/>
      <c r="J23" s="47"/>
      <c r="K23" s="47"/>
      <c r="L23" s="47"/>
      <c r="M23" s="47"/>
      <c r="N23" s="39"/>
    </row>
    <row r="24" spans="1:14" ht="20.100000000000001" customHeight="1">
      <c r="A24" s="46"/>
      <c r="B24" s="39"/>
      <c r="C24" s="39"/>
      <c r="D24" s="46"/>
      <c r="E24" s="46"/>
      <c r="F24" s="47"/>
      <c r="G24" s="47"/>
      <c r="H24" s="47"/>
      <c r="I24" s="47"/>
      <c r="J24" s="47"/>
      <c r="K24" s="47"/>
      <c r="L24" s="47"/>
      <c r="M24" s="47"/>
      <c r="N24" s="39"/>
    </row>
  </sheetData>
  <mergeCells count="12">
    <mergeCell ref="J3:K3"/>
    <mergeCell ref="L3:M3"/>
    <mergeCell ref="A1:N1"/>
    <mergeCell ref="A2:N2"/>
    <mergeCell ref="A3:A4"/>
    <mergeCell ref="B3:B4"/>
    <mergeCell ref="C3:C4"/>
    <mergeCell ref="D3:D4"/>
    <mergeCell ref="E3:E4"/>
    <mergeCell ref="N3:N4"/>
    <mergeCell ref="F3:G3"/>
    <mergeCell ref="H3:I3"/>
  </mergeCells>
  <phoneticPr fontId="1" type="noConversion"/>
  <conditionalFormatting sqref="A5:N24">
    <cfRule type="containsText" dxfId="7" priority="1" stopIfTrue="1" operator="containsText" text=".">
      <formula>NOT(ISERROR(SEARCH(".",A5)))</formula>
    </cfRule>
    <cfRule type="notContainsText" dxfId="6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  <rowBreaks count="1" manualBreakCount="1">
    <brk id="2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O251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243" sqref="Q243"/>
    </sheetView>
  </sheetViews>
  <sheetFormatPr defaultRowHeight="16.5"/>
  <cols>
    <col min="1" max="1" width="75.25" style="2" customWidth="1"/>
    <col min="2" max="6" width="9.625" style="4" customWidth="1"/>
    <col min="7" max="15" width="0" hidden="1" customWidth="1"/>
  </cols>
  <sheetData>
    <row r="1" spans="1:15" ht="30" customHeight="1">
      <c r="A1" s="147" t="s">
        <v>229</v>
      </c>
      <c r="B1" s="147"/>
      <c r="C1" s="147"/>
      <c r="D1" s="147"/>
      <c r="E1" s="147"/>
      <c r="F1" s="147"/>
    </row>
    <row r="2" spans="1:15" ht="20.100000000000001" customHeight="1">
      <c r="A2" s="148"/>
      <c r="B2" s="120"/>
      <c r="C2" s="120"/>
      <c r="D2" s="120"/>
      <c r="E2" s="120"/>
      <c r="F2" s="120"/>
    </row>
    <row r="3" spans="1:15" ht="20.100000000000001" customHeight="1">
      <c r="A3" s="127" t="s">
        <v>230</v>
      </c>
      <c r="B3" s="127" t="s">
        <v>202</v>
      </c>
      <c r="C3" s="127" t="s">
        <v>203</v>
      </c>
      <c r="D3" s="127" t="s">
        <v>204</v>
      </c>
      <c r="E3" s="127" t="s">
        <v>205</v>
      </c>
      <c r="F3" s="127" t="s">
        <v>231</v>
      </c>
    </row>
    <row r="4" spans="1:15" ht="20.100000000000001" customHeight="1">
      <c r="A4" s="127"/>
      <c r="B4" s="127"/>
      <c r="C4" s="127"/>
      <c r="D4" s="127"/>
      <c r="E4" s="127"/>
      <c r="F4" s="127"/>
      <c r="G4" t="s">
        <v>43</v>
      </c>
      <c r="H4" t="s">
        <v>44</v>
      </c>
      <c r="I4" t="s">
        <v>45</v>
      </c>
      <c r="J4" t="s">
        <v>46</v>
      </c>
    </row>
    <row r="5" spans="1:15" ht="20.100000000000001" customHeight="1">
      <c r="A5" s="140" t="s">
        <v>232</v>
      </c>
      <c r="B5" s="142"/>
      <c r="C5" s="142"/>
      <c r="D5" s="142"/>
      <c r="E5" s="143"/>
      <c r="F5" s="50"/>
    </row>
    <row r="6" spans="1:15" ht="20.100000000000001" customHeight="1">
      <c r="A6" s="42" t="s">
        <v>31</v>
      </c>
      <c r="B6" s="48"/>
      <c r="C6" s="48"/>
      <c r="D6" s="48"/>
      <c r="E6" s="48"/>
      <c r="F6" s="45"/>
    </row>
    <row r="7" spans="1:15" ht="20.100000000000001" customHeight="1">
      <c r="A7" s="39"/>
      <c r="B7" s="47"/>
      <c r="C7" s="47"/>
      <c r="D7" s="47"/>
      <c r="E7" s="47"/>
      <c r="F7" s="41"/>
    </row>
    <row r="8" spans="1:15" ht="20.100000000000001" customHeight="1">
      <c r="A8" s="144" t="s">
        <v>233</v>
      </c>
      <c r="B8" s="146"/>
      <c r="C8" s="146"/>
      <c r="D8" s="146"/>
      <c r="E8" s="146"/>
      <c r="F8" s="50"/>
    </row>
    <row r="9" spans="1:15" ht="20.100000000000001" customHeight="1">
      <c r="A9" s="39" t="s">
        <v>234</v>
      </c>
      <c r="B9" s="47">
        <v>0</v>
      </c>
      <c r="C9" s="47">
        <v>0</v>
      </c>
      <c r="D9" s="47">
        <v>0</v>
      </c>
      <c r="E9" s="47">
        <v>0</v>
      </c>
      <c r="F9" s="41"/>
      <c r="J9">
        <v>0</v>
      </c>
      <c r="L9">
        <v>0</v>
      </c>
    </row>
    <row r="10" spans="1:15" ht="20.100000000000001" customHeight="1">
      <c r="A10" s="39" t="s">
        <v>235</v>
      </c>
      <c r="B10" s="47"/>
      <c r="C10" s="47"/>
      <c r="D10" s="47"/>
      <c r="E10" s="47"/>
      <c r="F10" s="41"/>
      <c r="J10">
        <v>0</v>
      </c>
      <c r="L10">
        <v>1</v>
      </c>
      <c r="M10">
        <v>21395</v>
      </c>
      <c r="N10">
        <v>57077</v>
      </c>
      <c r="O10">
        <v>40055</v>
      </c>
    </row>
    <row r="11" spans="1:15" ht="20.100000000000001" customHeight="1">
      <c r="A11" s="39" t="str">
        <f>" 버킷용량(㎥) : " &amp;"q = " &amp; L11</f>
        <v xml:space="preserve"> 버킷용량(㎥) : q = 0.7</v>
      </c>
      <c r="B11" s="47">
        <v>0</v>
      </c>
      <c r="C11" s="47">
        <v>0</v>
      </c>
      <c r="D11" s="47">
        <v>0</v>
      </c>
      <c r="E11" s="47">
        <v>0</v>
      </c>
      <c r="F11" s="41"/>
      <c r="J11">
        <v>0</v>
      </c>
      <c r="K11" t="s">
        <v>236</v>
      </c>
      <c r="L11">
        <v>0.7</v>
      </c>
    </row>
    <row r="12" spans="1:15" ht="20.100000000000001" customHeight="1">
      <c r="A12" s="39" t="str">
        <f>" 버킷계수 : " &amp;"k = " &amp; L12</f>
        <v xml:space="preserve"> 버킷계수 : k = 0.9</v>
      </c>
      <c r="B12" s="47">
        <v>0</v>
      </c>
      <c r="C12" s="47">
        <v>0</v>
      </c>
      <c r="D12" s="47">
        <v>0</v>
      </c>
      <c r="E12" s="47">
        <v>0</v>
      </c>
      <c r="F12" s="41"/>
      <c r="J12">
        <v>0</v>
      </c>
      <c r="K12" t="s">
        <v>237</v>
      </c>
      <c r="L12">
        <v>0.9</v>
      </c>
    </row>
    <row r="13" spans="1:15" ht="20.100000000000001" customHeight="1">
      <c r="A13" s="39" t="str">
        <f>" 토량환산계수 : " &amp;"f = 1/1.25 = " &amp; L13</f>
        <v xml:space="preserve"> 토량환산계수 : f = 1/1.25 = 0.8</v>
      </c>
      <c r="B13" s="47">
        <v>0</v>
      </c>
      <c r="C13" s="47">
        <v>0</v>
      </c>
      <c r="D13" s="47">
        <v>0</v>
      </c>
      <c r="E13" s="47">
        <v>0</v>
      </c>
      <c r="F13" s="41"/>
      <c r="J13">
        <v>0</v>
      </c>
      <c r="K13" t="s">
        <v>238</v>
      </c>
      <c r="L13">
        <v>0.8</v>
      </c>
    </row>
    <row r="14" spans="1:15" ht="20.100000000000001" customHeight="1">
      <c r="A14" s="39" t="str">
        <f>" 작업효율 : " &amp;"E = " &amp; L14</f>
        <v xml:space="preserve"> 작업효율 : E = 0.65</v>
      </c>
      <c r="B14" s="47">
        <v>0</v>
      </c>
      <c r="C14" s="47">
        <v>0</v>
      </c>
      <c r="D14" s="47">
        <v>0</v>
      </c>
      <c r="E14" s="47">
        <v>0</v>
      </c>
      <c r="F14" s="41"/>
      <c r="J14">
        <v>0</v>
      </c>
      <c r="K14" t="s">
        <v>239</v>
      </c>
      <c r="L14">
        <v>0.65</v>
      </c>
    </row>
    <row r="15" spans="1:15" ht="20.100000000000001" customHeight="1">
      <c r="A15" s="39" t="str">
        <f>" 1회사이클시간(초) : " &amp;"Cm = " &amp; L15</f>
        <v xml:space="preserve"> 1회사이클시간(초) : Cm = 18</v>
      </c>
      <c r="B15" s="47">
        <v>0</v>
      </c>
      <c r="C15" s="47">
        <v>0</v>
      </c>
      <c r="D15" s="47">
        <v>0</v>
      </c>
      <c r="E15" s="47">
        <v>0</v>
      </c>
      <c r="F15" s="41"/>
      <c r="J15">
        <v>0</v>
      </c>
      <c r="K15" t="s">
        <v>240</v>
      </c>
      <c r="L15">
        <v>18</v>
      </c>
    </row>
    <row r="16" spans="1:15" ht="20.100000000000001" customHeight="1">
      <c r="A16" s="39" t="str">
        <f>" 시간당작업량(㎥/hr) : " &amp;"Q = (3600*q*k*f*E)/Cm = " &amp; L16</f>
        <v xml:space="preserve"> 시간당작업량(㎥/hr) : Q = (3600*q*k*f*E)/Cm = 65.52</v>
      </c>
      <c r="B16" s="47"/>
      <c r="C16" s="47"/>
      <c r="D16" s="47"/>
      <c r="E16" s="47"/>
      <c r="F16" s="41"/>
      <c r="J16">
        <v>0</v>
      </c>
      <c r="K16" t="s">
        <v>241</v>
      </c>
      <c r="L16">
        <f>ROUND((3600*L11*L12*L13*L14)/L15, 3)</f>
        <v>65.52</v>
      </c>
    </row>
    <row r="17" spans="1:15" ht="20.100000000000001" customHeight="1">
      <c r="A17" s="39" t="str">
        <f>" 재료비 : " &amp; TEXT(TRUNC(M17,0), "#,##0") &amp; " / 65.52*0.8"</f>
        <v xml:space="preserve"> 재료비 : 21,395 / 65.52*0.8</v>
      </c>
      <c r="B17" s="47"/>
      <c r="C17" s="47"/>
      <c r="D17" s="47"/>
      <c r="E17" s="47"/>
      <c r="F17" s="41"/>
      <c r="I17" s="1" t="s">
        <v>59</v>
      </c>
      <c r="J17">
        <v>1</v>
      </c>
      <c r="L17">
        <v>0</v>
      </c>
      <c r="M17">
        <f>M10</f>
        <v>21395</v>
      </c>
    </row>
    <row r="18" spans="1:15" ht="20.100000000000001" customHeight="1">
      <c r="A18" s="39" t="str">
        <f>" 노무비 : " &amp; TEXT(TRUNC(N18,0), "#,##0") &amp; " / 65.52*0.8"</f>
        <v xml:space="preserve"> 노무비 : 57,077 / 65.52*0.8</v>
      </c>
      <c r="B18" s="47"/>
      <c r="C18" s="47"/>
      <c r="D18" s="47"/>
      <c r="E18" s="47"/>
      <c r="F18" s="41"/>
      <c r="I18" s="1" t="s">
        <v>59</v>
      </c>
      <c r="J18">
        <v>1</v>
      </c>
      <c r="L18">
        <v>0</v>
      </c>
      <c r="N18">
        <f>N10</f>
        <v>57077</v>
      </c>
    </row>
    <row r="19" spans="1:15" ht="20.100000000000001" customHeight="1">
      <c r="A19" s="39" t="str">
        <f>" 경  비 : " &amp; TEXT(TRUNC(O19,0), "#,##0") &amp; " / 65.52*0.8"</f>
        <v xml:space="preserve"> 경  비 : 40,055 / 65.52*0.8</v>
      </c>
      <c r="B19" s="47"/>
      <c r="C19" s="47"/>
      <c r="D19" s="47"/>
      <c r="E19" s="47"/>
      <c r="F19" s="41"/>
      <c r="I19" s="1" t="s">
        <v>59</v>
      </c>
      <c r="J19">
        <v>1</v>
      </c>
      <c r="L19">
        <v>0</v>
      </c>
      <c r="O19">
        <f>O10</f>
        <v>40055</v>
      </c>
    </row>
    <row r="20" spans="1:15" ht="20.100000000000001" customHeight="1">
      <c r="A20" s="39" t="s">
        <v>242</v>
      </c>
      <c r="B20" s="47"/>
      <c r="C20" s="47"/>
      <c r="D20" s="47"/>
      <c r="E20" s="47"/>
      <c r="F20" s="41"/>
      <c r="J20">
        <v>0</v>
      </c>
      <c r="L20">
        <v>0</v>
      </c>
    </row>
    <row r="21" spans="1:15" ht="20.100000000000001" customHeight="1">
      <c r="A21" s="39" t="s">
        <v>243</v>
      </c>
      <c r="B21" s="47"/>
      <c r="C21" s="47"/>
      <c r="D21" s="47"/>
      <c r="E21" s="47"/>
      <c r="F21" s="41"/>
      <c r="J21">
        <v>0</v>
      </c>
      <c r="L21">
        <v>0</v>
      </c>
    </row>
    <row r="22" spans="1:15" ht="20.100000000000001" customHeight="1">
      <c r="A22" s="39" t="str">
        <f>" 노무비 보통인부 인  " &amp; TEXT(TRUNC(N22,0), "#,##0") &amp; " * (0.2*0.2)"</f>
        <v xml:space="preserve"> 노무비 보통인부 인  169,804 * (0.2*0.2)</v>
      </c>
      <c r="B22" s="47"/>
      <c r="C22" s="47"/>
      <c r="D22" s="47"/>
      <c r="E22" s="47"/>
      <c r="F22" s="41"/>
      <c r="H22" s="1" t="s">
        <v>76</v>
      </c>
      <c r="I22" s="1" t="s">
        <v>59</v>
      </c>
      <c r="J22">
        <v>1</v>
      </c>
      <c r="L22">
        <v>0.04</v>
      </c>
      <c r="M22">
        <v>0</v>
      </c>
      <c r="N22">
        <v>169804</v>
      </c>
      <c r="O22">
        <v>0</v>
      </c>
    </row>
    <row r="23" spans="1:15" ht="20.100000000000001" customHeight="1">
      <c r="A23" s="39" t="s">
        <v>242</v>
      </c>
      <c r="B23" s="47"/>
      <c r="C23" s="47"/>
      <c r="D23" s="47"/>
      <c r="E23" s="47"/>
      <c r="F23" s="41"/>
      <c r="J23">
        <v>0</v>
      </c>
      <c r="L23">
        <v>0</v>
      </c>
    </row>
    <row r="24" spans="1:15" ht="20.100000000000001" customHeight="1">
      <c r="A24" s="42" t="s">
        <v>31</v>
      </c>
      <c r="B24" s="48">
        <f>ROUNDDOWN(SUMIF(J9:J23, "1", B9:B23), 0)</f>
        <v>0</v>
      </c>
      <c r="C24" s="48">
        <f>ROUNDDOWN(SUMIF(J9:J23, "1", C9:C23), 0)</f>
        <v>0</v>
      </c>
      <c r="D24" s="48">
        <f>ROUNDDOWN(SUMIF(J9:J23, "1", D9:D23), 0)</f>
        <v>0</v>
      </c>
      <c r="E24" s="48">
        <f>B24+C24+D24</f>
        <v>0</v>
      </c>
      <c r="F24" s="45"/>
    </row>
    <row r="25" spans="1:15" ht="20.100000000000001" customHeight="1">
      <c r="A25" s="39"/>
      <c r="B25" s="47"/>
      <c r="C25" s="47"/>
      <c r="D25" s="47"/>
      <c r="E25" s="47"/>
      <c r="F25" s="41"/>
    </row>
    <row r="26" spans="1:15" ht="20.100000000000001" customHeight="1">
      <c r="A26" s="144" t="s">
        <v>244</v>
      </c>
      <c r="B26" s="146"/>
      <c r="C26" s="146"/>
      <c r="D26" s="146"/>
      <c r="E26" s="146"/>
      <c r="F26" s="50"/>
    </row>
    <row r="27" spans="1:15" ht="20.100000000000001" customHeight="1">
      <c r="A27" s="39" t="s">
        <v>245</v>
      </c>
      <c r="B27" s="47">
        <v>0</v>
      </c>
      <c r="C27" s="47">
        <v>0</v>
      </c>
      <c r="D27" s="47">
        <v>0</v>
      </c>
      <c r="E27" s="47">
        <v>0</v>
      </c>
      <c r="F27" s="41"/>
      <c r="J27">
        <v>0</v>
      </c>
      <c r="L27">
        <v>0</v>
      </c>
    </row>
    <row r="28" spans="1:15" ht="20.100000000000001" customHeight="1">
      <c r="A28" s="39" t="s">
        <v>246</v>
      </c>
      <c r="B28" s="47"/>
      <c r="C28" s="47"/>
      <c r="D28" s="47"/>
      <c r="E28" s="47"/>
      <c r="F28" s="41"/>
      <c r="J28">
        <v>0</v>
      </c>
      <c r="L28">
        <v>1</v>
      </c>
      <c r="M28">
        <v>21395</v>
      </c>
      <c r="N28">
        <v>57077</v>
      </c>
      <c r="O28">
        <v>28955</v>
      </c>
    </row>
    <row r="29" spans="1:15" ht="20.100000000000001" customHeight="1">
      <c r="A29" s="39" t="str">
        <f>" 용량계수 : " &amp;"q = " &amp; L29</f>
        <v xml:space="preserve"> 용량계수 : q = 0.7</v>
      </c>
      <c r="B29" s="47">
        <v>0</v>
      </c>
      <c r="C29" s="47">
        <v>0</v>
      </c>
      <c r="D29" s="47">
        <v>0</v>
      </c>
      <c r="E29" s="47">
        <v>0</v>
      </c>
      <c r="F29" s="41"/>
      <c r="J29">
        <v>0</v>
      </c>
      <c r="K29" t="s">
        <v>236</v>
      </c>
      <c r="L29">
        <v>0.7</v>
      </c>
    </row>
    <row r="30" spans="1:15" ht="20.100000000000001" customHeight="1">
      <c r="A30" s="39" t="str">
        <f>" 토량환산계수에서의 토량변화율 : " &amp;"L = " &amp; L30</f>
        <v xml:space="preserve"> 토량환산계수에서의 토량변화율 : L = 1.25</v>
      </c>
      <c r="B30" s="47">
        <v>0</v>
      </c>
      <c r="C30" s="47">
        <v>0</v>
      </c>
      <c r="D30" s="47">
        <v>0</v>
      </c>
      <c r="E30" s="47">
        <v>0</v>
      </c>
      <c r="F30" s="41"/>
      <c r="J30">
        <v>0</v>
      </c>
      <c r="K30" t="s">
        <v>67</v>
      </c>
      <c r="L30">
        <v>1.25</v>
      </c>
    </row>
    <row r="31" spans="1:15" ht="20.100000000000001" customHeight="1">
      <c r="A31" s="39" t="str">
        <f>" 토량환산계수 : " &amp;"f = 0.875/1.25 = " &amp; L31</f>
        <v xml:space="preserve"> 토량환산계수 : f = 0.875/1.25 = 0.7</v>
      </c>
      <c r="B31" s="47">
        <v>0</v>
      </c>
      <c r="C31" s="47">
        <v>0</v>
      </c>
      <c r="D31" s="47">
        <v>0</v>
      </c>
      <c r="E31" s="47">
        <v>0</v>
      </c>
      <c r="F31" s="41"/>
      <c r="J31">
        <v>0</v>
      </c>
      <c r="K31" t="s">
        <v>238</v>
      </c>
      <c r="L31">
        <v>0.7</v>
      </c>
    </row>
    <row r="32" spans="1:15" ht="20.100000000000001" customHeight="1">
      <c r="A32" s="39" t="str">
        <f>" 버킷계수 : " &amp;"k = " &amp; L32</f>
        <v xml:space="preserve"> 버킷계수 : k = 0.9</v>
      </c>
      <c r="B32" s="47">
        <v>0</v>
      </c>
      <c r="C32" s="47">
        <v>0</v>
      </c>
      <c r="D32" s="47">
        <v>0</v>
      </c>
      <c r="E32" s="47">
        <v>0</v>
      </c>
      <c r="F32" s="41"/>
      <c r="J32">
        <v>0</v>
      </c>
      <c r="K32" t="s">
        <v>237</v>
      </c>
      <c r="L32">
        <v>0.9</v>
      </c>
    </row>
    <row r="33" spans="1:15" ht="20.100000000000001" customHeight="1">
      <c r="A33" s="39" t="str">
        <f>" 작업효율 : " &amp;"E = " &amp; L33</f>
        <v xml:space="preserve"> 작업효율 : E = 0.75</v>
      </c>
      <c r="B33" s="47">
        <v>0</v>
      </c>
      <c r="C33" s="47">
        <v>0</v>
      </c>
      <c r="D33" s="47">
        <v>0</v>
      </c>
      <c r="E33" s="47">
        <v>0</v>
      </c>
      <c r="F33" s="41"/>
      <c r="J33">
        <v>0</v>
      </c>
      <c r="K33" t="s">
        <v>239</v>
      </c>
      <c r="L33">
        <v>0.75</v>
      </c>
    </row>
    <row r="34" spans="1:15" ht="20.100000000000001" customHeight="1">
      <c r="A34" s="39" t="str">
        <f>" 1회 사이클 시간 : " &amp;"Cm = " &amp; L34</f>
        <v xml:space="preserve"> 1회 사이클 시간 : Cm = 18</v>
      </c>
      <c r="B34" s="47">
        <v>0</v>
      </c>
      <c r="C34" s="47">
        <v>0</v>
      </c>
      <c r="D34" s="47">
        <v>0</v>
      </c>
      <c r="E34" s="47">
        <v>0</v>
      </c>
      <c r="F34" s="41"/>
      <c r="J34">
        <v>0</v>
      </c>
      <c r="K34" t="s">
        <v>240</v>
      </c>
      <c r="L34">
        <v>18</v>
      </c>
    </row>
    <row r="35" spans="1:15" ht="20.100000000000001" customHeight="1">
      <c r="A35" s="39" t="str">
        <f>" 시간당작업량 : " &amp;"Q = 3600*q*k*f*E/Cm = " &amp; L35</f>
        <v xml:space="preserve"> 시간당작업량 : Q = 3600*q*k*f*E/Cm = 66.15</v>
      </c>
      <c r="B35" s="47">
        <v>0</v>
      </c>
      <c r="C35" s="47">
        <v>0</v>
      </c>
      <c r="D35" s="47">
        <v>0</v>
      </c>
      <c r="E35" s="47">
        <v>0</v>
      </c>
      <c r="F35" s="41"/>
      <c r="J35">
        <v>0</v>
      </c>
      <c r="K35" t="s">
        <v>241</v>
      </c>
      <c r="L35">
        <f>ROUNDDOWN(3600*L29*L32*L31*L33/L34, 2)</f>
        <v>66.150000000000006</v>
      </c>
    </row>
    <row r="36" spans="1:15" ht="20.100000000000001" customHeight="1">
      <c r="A36" s="39" t="str">
        <f>" 재료비 : " &amp; TEXT(TRUNC(M36,0), "#,##0") &amp; " / 66.15*0.8"</f>
        <v xml:space="preserve"> 재료비 : 21,395 / 66.15*0.8</v>
      </c>
      <c r="B36" s="47"/>
      <c r="C36" s="47"/>
      <c r="D36" s="47"/>
      <c r="E36" s="47"/>
      <c r="F36" s="41"/>
      <c r="I36" s="1" t="s">
        <v>59</v>
      </c>
      <c r="J36">
        <v>1</v>
      </c>
      <c r="L36">
        <v>0</v>
      </c>
      <c r="M36">
        <f>M28</f>
        <v>21395</v>
      </c>
    </row>
    <row r="37" spans="1:15" ht="20.100000000000001" customHeight="1">
      <c r="A37" s="39" t="str">
        <f>" 노무비 : " &amp; TEXT(TRUNC(N37,0), "#,##0") &amp; " / 66.15*0.8"</f>
        <v xml:space="preserve"> 노무비 : 57,077 / 66.15*0.8</v>
      </c>
      <c r="B37" s="47"/>
      <c r="C37" s="47"/>
      <c r="D37" s="47"/>
      <c r="E37" s="47"/>
      <c r="F37" s="41"/>
      <c r="I37" s="1" t="s">
        <v>59</v>
      </c>
      <c r="J37">
        <v>1</v>
      </c>
      <c r="L37">
        <v>0</v>
      </c>
      <c r="N37">
        <f>N28</f>
        <v>57077</v>
      </c>
    </row>
    <row r="38" spans="1:15" ht="20.100000000000001" customHeight="1">
      <c r="A38" s="39" t="str">
        <f>" 경  비 : " &amp; TEXT(TRUNC(O38,0), "#,##0") &amp; " / 66.15*0.8"</f>
        <v xml:space="preserve"> 경  비 : 28,955 / 66.15*0.8</v>
      </c>
      <c r="B38" s="47"/>
      <c r="C38" s="47"/>
      <c r="D38" s="47"/>
      <c r="E38" s="47"/>
      <c r="F38" s="41"/>
      <c r="I38" s="1" t="s">
        <v>59</v>
      </c>
      <c r="J38">
        <v>1</v>
      </c>
      <c r="L38">
        <v>0</v>
      </c>
      <c r="O38">
        <f>O28</f>
        <v>28955</v>
      </c>
    </row>
    <row r="39" spans="1:15" ht="20.100000000000001" customHeight="1">
      <c r="A39" s="39" t="s">
        <v>242</v>
      </c>
      <c r="B39" s="47"/>
      <c r="C39" s="47"/>
      <c r="D39" s="47"/>
      <c r="E39" s="47"/>
      <c r="F39" s="41"/>
      <c r="J39">
        <v>0</v>
      </c>
      <c r="L39">
        <v>0</v>
      </c>
    </row>
    <row r="40" spans="1:15" ht="20.100000000000001" customHeight="1">
      <c r="A40" s="39" t="s">
        <v>247</v>
      </c>
      <c r="B40" s="47"/>
      <c r="C40" s="47"/>
      <c r="D40" s="47"/>
      <c r="E40" s="47"/>
      <c r="F40" s="41"/>
      <c r="J40">
        <v>0</v>
      </c>
      <c r="L40">
        <v>0</v>
      </c>
    </row>
    <row r="41" spans="1:15" ht="20.100000000000001" customHeight="1">
      <c r="A41" s="39" t="str">
        <f>" 노무비 보통인부 인  " &amp; TEXT(TRUNC(N41,0), "#,##0") &amp; " * (0.1*0.2)"</f>
        <v xml:space="preserve"> 노무비 보통인부 인  169,804 * (0.1*0.2)</v>
      </c>
      <c r="B41" s="47"/>
      <c r="C41" s="47"/>
      <c r="D41" s="47"/>
      <c r="E41" s="47"/>
      <c r="F41" s="41"/>
      <c r="H41" s="1" t="s">
        <v>76</v>
      </c>
      <c r="I41" s="1" t="s">
        <v>59</v>
      </c>
      <c r="J41">
        <v>1</v>
      </c>
      <c r="L41">
        <v>0.02</v>
      </c>
      <c r="M41">
        <v>0</v>
      </c>
      <c r="N41">
        <v>169804</v>
      </c>
      <c r="O41">
        <v>0</v>
      </c>
    </row>
    <row r="42" spans="1:15" ht="20.100000000000001" customHeight="1">
      <c r="A42" s="39" t="s">
        <v>242</v>
      </c>
      <c r="B42" s="47"/>
      <c r="C42" s="47"/>
      <c r="D42" s="47"/>
      <c r="E42" s="47"/>
      <c r="F42" s="41"/>
      <c r="J42">
        <v>0</v>
      </c>
      <c r="L42">
        <v>0</v>
      </c>
    </row>
    <row r="43" spans="1:15" ht="20.100000000000001" customHeight="1">
      <c r="A43" s="42" t="s">
        <v>31</v>
      </c>
      <c r="B43" s="48">
        <f>ROUNDDOWN(SUMIF(J27:J42, "1", B27:B42), 0)</f>
        <v>0</v>
      </c>
      <c r="C43" s="48">
        <f>ROUNDDOWN(SUMIF(J27:J42, "1", C27:C42), 0)</f>
        <v>0</v>
      </c>
      <c r="D43" s="48">
        <f>ROUNDDOWN(SUMIF(J27:J42, "1", D27:D42), 0)</f>
        <v>0</v>
      </c>
      <c r="E43" s="48">
        <f>B43+C43+D43</f>
        <v>0</v>
      </c>
      <c r="F43" s="45"/>
    </row>
    <row r="44" spans="1:15" ht="20.100000000000001" customHeight="1">
      <c r="A44" s="39"/>
      <c r="B44" s="47"/>
      <c r="C44" s="47"/>
      <c r="D44" s="47"/>
      <c r="E44" s="47"/>
      <c r="F44" s="41"/>
    </row>
    <row r="45" spans="1:15" ht="20.100000000000001" customHeight="1">
      <c r="A45" s="144" t="s">
        <v>248</v>
      </c>
      <c r="B45" s="146"/>
      <c r="C45" s="146"/>
      <c r="D45" s="146"/>
      <c r="E45" s="146"/>
      <c r="F45" s="50"/>
    </row>
    <row r="46" spans="1:15" ht="20.100000000000001" customHeight="1">
      <c r="A46" s="39" t="s">
        <v>249</v>
      </c>
      <c r="B46" s="47">
        <v>0</v>
      </c>
      <c r="C46" s="47">
        <v>0</v>
      </c>
      <c r="D46" s="47">
        <v>0</v>
      </c>
      <c r="E46" s="47">
        <v>0</v>
      </c>
      <c r="F46" s="41"/>
      <c r="J46">
        <v>0</v>
      </c>
      <c r="L46">
        <v>0</v>
      </c>
    </row>
    <row r="47" spans="1:15" ht="20.100000000000001" customHeight="1">
      <c r="A47" s="39" t="s">
        <v>250</v>
      </c>
      <c r="B47" s="47"/>
      <c r="C47" s="47"/>
      <c r="D47" s="47"/>
      <c r="E47" s="47"/>
      <c r="F47" s="51"/>
      <c r="J47">
        <v>0</v>
      </c>
      <c r="L47">
        <v>1</v>
      </c>
      <c r="M47">
        <v>21395</v>
      </c>
      <c r="N47">
        <v>11891</v>
      </c>
      <c r="O47">
        <v>7368</v>
      </c>
    </row>
    <row r="48" spans="1:15" ht="20.100000000000001" customHeight="1">
      <c r="A48" s="39" t="str">
        <f>" 용량계수 : " &amp;"q = " &amp; L48</f>
        <v xml:space="preserve"> 용량계수 : q = 0.7</v>
      </c>
      <c r="B48" s="47">
        <v>0</v>
      </c>
      <c r="C48" s="47">
        <v>0</v>
      </c>
      <c r="D48" s="47">
        <v>0</v>
      </c>
      <c r="E48" s="47">
        <v>0</v>
      </c>
      <c r="F48" s="41"/>
      <c r="J48">
        <v>0</v>
      </c>
      <c r="K48" t="s">
        <v>236</v>
      </c>
      <c r="L48">
        <v>0.7</v>
      </c>
    </row>
    <row r="49" spans="1:15" ht="20.100000000000001" customHeight="1">
      <c r="A49" s="39" t="str">
        <f>" 토량환산계수에서의 토량변화율 : " &amp;"L = " &amp; L49</f>
        <v xml:space="preserve"> 토량환산계수에서의 토량변화율 : L = 1.3</v>
      </c>
      <c r="B49" s="47">
        <v>0</v>
      </c>
      <c r="C49" s="47">
        <v>0</v>
      </c>
      <c r="D49" s="47">
        <v>0</v>
      </c>
      <c r="E49" s="47">
        <v>0</v>
      </c>
      <c r="F49" s="41"/>
      <c r="J49">
        <v>0</v>
      </c>
      <c r="K49" t="s">
        <v>67</v>
      </c>
      <c r="L49">
        <v>1.3</v>
      </c>
    </row>
    <row r="50" spans="1:15" ht="20.100000000000001" customHeight="1">
      <c r="A50" s="39" t="str">
        <f>" 토량환산계수 : " &amp;"f = 1/L = " &amp; L50</f>
        <v xml:space="preserve"> 토량환산계수 : f = 1/L = 0.769</v>
      </c>
      <c r="B50" s="47">
        <v>0</v>
      </c>
      <c r="C50" s="47">
        <v>0</v>
      </c>
      <c r="D50" s="47">
        <v>0</v>
      </c>
      <c r="E50" s="47">
        <v>0</v>
      </c>
      <c r="F50" s="41"/>
      <c r="J50">
        <v>0</v>
      </c>
      <c r="K50" t="s">
        <v>238</v>
      </c>
      <c r="L50">
        <f>ROUNDDOWN(1/L49, 3)</f>
        <v>0.76900000000000002</v>
      </c>
    </row>
    <row r="51" spans="1:15" ht="20.100000000000001" customHeight="1">
      <c r="A51" s="39" t="str">
        <f>" 버킷계수 : " &amp;"k = " &amp; L51</f>
        <v xml:space="preserve"> 버킷계수 : k = 0.7</v>
      </c>
      <c r="B51" s="47">
        <v>0</v>
      </c>
      <c r="C51" s="47">
        <v>0</v>
      </c>
      <c r="D51" s="47">
        <v>0</v>
      </c>
      <c r="E51" s="47">
        <v>0</v>
      </c>
      <c r="F51" s="41"/>
      <c r="J51">
        <v>0</v>
      </c>
      <c r="K51" t="s">
        <v>237</v>
      </c>
      <c r="L51">
        <v>0.7</v>
      </c>
    </row>
    <row r="52" spans="1:15" ht="20.100000000000001" customHeight="1">
      <c r="A52" s="39" t="str">
        <f>" 작업효율 : " &amp;"E = " &amp; L52</f>
        <v xml:space="preserve"> 작업효율 : E = 0.65</v>
      </c>
      <c r="B52" s="47">
        <v>0</v>
      </c>
      <c r="C52" s="47">
        <v>0</v>
      </c>
      <c r="D52" s="47">
        <v>0</v>
      </c>
      <c r="E52" s="47">
        <v>0</v>
      </c>
      <c r="F52" s="41"/>
      <c r="J52">
        <v>0</v>
      </c>
      <c r="K52" t="s">
        <v>239</v>
      </c>
      <c r="L52">
        <v>0.65</v>
      </c>
    </row>
    <row r="53" spans="1:15" ht="20.100000000000001" customHeight="1">
      <c r="A53" s="39" t="str">
        <f>" 1회 사이클 시간 : " &amp;"Cm = " &amp; L53</f>
        <v xml:space="preserve"> 1회 사이클 시간 : Cm = 18</v>
      </c>
      <c r="B53" s="47">
        <v>0</v>
      </c>
      <c r="C53" s="47">
        <v>0</v>
      </c>
      <c r="D53" s="47">
        <v>0</v>
      </c>
      <c r="E53" s="47">
        <v>0</v>
      </c>
      <c r="F53" s="41"/>
      <c r="J53">
        <v>0</v>
      </c>
      <c r="K53" t="s">
        <v>240</v>
      </c>
      <c r="L53">
        <v>18</v>
      </c>
    </row>
    <row r="54" spans="1:15" ht="20.100000000000001" customHeight="1">
      <c r="A54" s="39" t="str">
        <f>" 시간당작업량 : " &amp;"Q = 3600*q*k*f*E/Cm = " &amp; L54</f>
        <v xml:space="preserve"> 시간당작업량 : Q = 3600*q*k*f*E/Cm = 48.98</v>
      </c>
      <c r="B54" s="47"/>
      <c r="C54" s="47"/>
      <c r="D54" s="47"/>
      <c r="E54" s="47"/>
      <c r="F54" s="41"/>
      <c r="J54">
        <v>0</v>
      </c>
      <c r="K54" t="s">
        <v>241</v>
      </c>
      <c r="L54">
        <f>ROUNDDOWN(3600*L48*L51*L50*L52/L53, 2)</f>
        <v>48.98</v>
      </c>
    </row>
    <row r="55" spans="1:15" ht="20.100000000000001" customHeight="1">
      <c r="A55" s="39" t="str">
        <f>" 재료비 : " &amp; TEXT(TRUNC(M55,0), "#,##0") &amp; " / 48.98*0.5"</f>
        <v xml:space="preserve"> 재료비 : 21,395 / 48.98*0.5</v>
      </c>
      <c r="B55" s="47"/>
      <c r="C55" s="47"/>
      <c r="D55" s="47"/>
      <c r="E55" s="47"/>
      <c r="F55" s="41"/>
      <c r="I55" s="1" t="s">
        <v>59</v>
      </c>
      <c r="J55">
        <v>1</v>
      </c>
      <c r="L55">
        <v>0</v>
      </c>
      <c r="M55">
        <f>M47</f>
        <v>21395</v>
      </c>
    </row>
    <row r="56" spans="1:15" ht="20.100000000000001" customHeight="1">
      <c r="A56" s="39" t="str">
        <f>" 노무비 : " &amp; TEXT(TRUNC(N56,0), "#,##0") &amp; " / 48.98*0.5"</f>
        <v xml:space="preserve"> 노무비 : 11,891 / 48.98*0.5</v>
      </c>
      <c r="B56" s="47"/>
      <c r="C56" s="47"/>
      <c r="D56" s="47"/>
      <c r="E56" s="47"/>
      <c r="F56" s="41"/>
      <c r="I56" s="1" t="s">
        <v>59</v>
      </c>
      <c r="J56">
        <v>1</v>
      </c>
      <c r="L56">
        <v>0</v>
      </c>
      <c r="N56">
        <f>N47</f>
        <v>11891</v>
      </c>
    </row>
    <row r="57" spans="1:15" ht="20.100000000000001" customHeight="1">
      <c r="A57" s="39" t="str">
        <f>" 경  비 : " &amp; TEXT(TRUNC(O57,0), "#,##0") &amp; " / 48.98*0.5"</f>
        <v xml:space="preserve"> 경  비 : 7,368 / 48.98*0.5</v>
      </c>
      <c r="B57" s="47"/>
      <c r="C57" s="47"/>
      <c r="D57" s="47"/>
      <c r="E57" s="47"/>
      <c r="F57" s="41"/>
      <c r="I57" s="1" t="s">
        <v>59</v>
      </c>
      <c r="J57">
        <v>1</v>
      </c>
      <c r="L57">
        <v>0</v>
      </c>
      <c r="O57">
        <f>O47</f>
        <v>7368</v>
      </c>
    </row>
    <row r="58" spans="1:15" ht="20.100000000000001" customHeight="1">
      <c r="A58" s="39" t="s">
        <v>242</v>
      </c>
      <c r="B58" s="47"/>
      <c r="C58" s="47"/>
      <c r="D58" s="47"/>
      <c r="E58" s="47"/>
      <c r="F58" s="41"/>
      <c r="J58">
        <v>0</v>
      </c>
      <c r="L58">
        <v>0</v>
      </c>
    </row>
    <row r="59" spans="1:15" ht="20.100000000000001" customHeight="1">
      <c r="A59" s="39" t="s">
        <v>251</v>
      </c>
      <c r="B59" s="47"/>
      <c r="C59" s="47"/>
      <c r="D59" s="47"/>
      <c r="E59" s="47"/>
      <c r="F59" s="41"/>
      <c r="J59">
        <v>0</v>
      </c>
      <c r="L59">
        <v>0</v>
      </c>
    </row>
    <row r="60" spans="1:15" ht="20.100000000000001" customHeight="1">
      <c r="A60" s="39" t="str">
        <f>" 노무비 보통인부 인  " &amp; TEXT(TRUNC(N60,0), "#,##0") &amp; " * (0.26*0.5)"</f>
        <v xml:space="preserve"> 노무비 보통인부 인  169,804 * (0.26*0.5)</v>
      </c>
      <c r="B60" s="47"/>
      <c r="C60" s="47"/>
      <c r="D60" s="47"/>
      <c r="E60" s="47"/>
      <c r="F60" s="41"/>
      <c r="H60" s="1" t="s">
        <v>76</v>
      </c>
      <c r="I60" s="1" t="s">
        <v>59</v>
      </c>
      <c r="J60">
        <v>1</v>
      </c>
      <c r="L60">
        <v>0.13</v>
      </c>
      <c r="M60">
        <v>0</v>
      </c>
      <c r="N60">
        <v>169804</v>
      </c>
      <c r="O60">
        <v>0</v>
      </c>
    </row>
    <row r="61" spans="1:15" ht="20.100000000000001" customHeight="1">
      <c r="A61" s="39" t="s">
        <v>242</v>
      </c>
      <c r="B61" s="47"/>
      <c r="C61" s="47"/>
      <c r="D61" s="47"/>
      <c r="E61" s="47"/>
      <c r="F61" s="41"/>
      <c r="J61">
        <v>0</v>
      </c>
      <c r="L61">
        <v>0</v>
      </c>
    </row>
    <row r="62" spans="1:15" ht="20.100000000000001" customHeight="1">
      <c r="A62" s="42" t="s">
        <v>31</v>
      </c>
      <c r="B62" s="48">
        <f>ROUNDDOWN(SUMIF(J46:J61, "1", B46:B61), 0)</f>
        <v>0</v>
      </c>
      <c r="C62" s="48">
        <f>ROUNDDOWN(SUMIF(J46:J61, "1", C46:C61), 0)</f>
        <v>0</v>
      </c>
      <c r="D62" s="48">
        <f>ROUNDDOWN(SUMIF(J46:J61, "1", D46:D61), 0)</f>
        <v>0</v>
      </c>
      <c r="E62" s="48">
        <f>B62+C62+D62</f>
        <v>0</v>
      </c>
      <c r="F62" s="45"/>
    </row>
    <row r="63" spans="1:15" ht="20.100000000000001" customHeight="1">
      <c r="A63" s="39"/>
      <c r="B63" s="47"/>
      <c r="C63" s="47"/>
      <c r="D63" s="47"/>
      <c r="E63" s="47"/>
      <c r="F63" s="41"/>
    </row>
    <row r="64" spans="1:15" ht="20.100000000000001" customHeight="1">
      <c r="A64" s="144" t="s">
        <v>252</v>
      </c>
      <c r="B64" s="146"/>
      <c r="C64" s="146"/>
      <c r="D64" s="146"/>
      <c r="E64" s="146"/>
      <c r="F64" s="52"/>
    </row>
    <row r="65" spans="1:15" ht="20.100000000000001" customHeight="1">
      <c r="A65" s="39" t="s">
        <v>253</v>
      </c>
      <c r="B65" s="47">
        <v>0</v>
      </c>
      <c r="C65" s="47">
        <v>0</v>
      </c>
      <c r="D65" s="47">
        <v>0</v>
      </c>
      <c r="E65" s="47">
        <v>0</v>
      </c>
      <c r="F65" s="41"/>
      <c r="J65">
        <v>0</v>
      </c>
      <c r="L65">
        <v>0</v>
      </c>
    </row>
    <row r="66" spans="1:15" ht="20.100000000000001" customHeight="1">
      <c r="A66" s="39" t="s">
        <v>254</v>
      </c>
      <c r="B66" s="47"/>
      <c r="C66" s="47"/>
      <c r="D66" s="47"/>
      <c r="E66" s="47"/>
      <c r="F66" s="51"/>
      <c r="J66">
        <v>0</v>
      </c>
      <c r="L66">
        <v>1</v>
      </c>
      <c r="M66">
        <v>21395</v>
      </c>
      <c r="N66">
        <v>57077</v>
      </c>
      <c r="O66">
        <v>35102</v>
      </c>
    </row>
    <row r="67" spans="1:15" ht="20.100000000000001" customHeight="1">
      <c r="A67" s="39" t="str">
        <f>"시간당작업량 : " &amp;"Q = (2.6+4.6)/2 = " &amp; L67</f>
        <v>시간당작업량 : Q = (2.6+4.6)/2 = 3.6</v>
      </c>
      <c r="B67" s="47"/>
      <c r="C67" s="47"/>
      <c r="D67" s="47"/>
      <c r="E67" s="47"/>
      <c r="F67" s="41"/>
      <c r="J67">
        <v>0</v>
      </c>
      <c r="K67" t="s">
        <v>241</v>
      </c>
      <c r="L67">
        <v>3.6</v>
      </c>
    </row>
    <row r="68" spans="1:15" ht="20.100000000000001" customHeight="1">
      <c r="A68" s="39" t="str">
        <f>"재료비 : " &amp; TEXT(TRUNC(M68,0), "#,##0") &amp; " / 3.6"</f>
        <v>재료비 : 21,395 / 3.6</v>
      </c>
      <c r="B68" s="47"/>
      <c r="C68" s="47"/>
      <c r="D68" s="47"/>
      <c r="E68" s="47"/>
      <c r="F68" s="41"/>
      <c r="I68" s="1" t="s">
        <v>59</v>
      </c>
      <c r="J68">
        <v>1</v>
      </c>
      <c r="L68">
        <v>0</v>
      </c>
      <c r="M68">
        <f>M66</f>
        <v>21395</v>
      </c>
    </row>
    <row r="69" spans="1:15" ht="20.100000000000001" customHeight="1">
      <c r="A69" s="39" t="str">
        <f>"노무비 : " &amp; TEXT(TRUNC(N69,0), "#,##0") &amp; " / 3.6"</f>
        <v>노무비 : 57,077 / 3.6</v>
      </c>
      <c r="B69" s="47"/>
      <c r="C69" s="47"/>
      <c r="D69" s="47"/>
      <c r="E69" s="47"/>
      <c r="F69" s="41"/>
      <c r="I69" s="1" t="s">
        <v>59</v>
      </c>
      <c r="J69">
        <v>1</v>
      </c>
      <c r="L69">
        <v>0</v>
      </c>
      <c r="N69">
        <f>N66</f>
        <v>57077</v>
      </c>
    </row>
    <row r="70" spans="1:15" ht="20.100000000000001" customHeight="1">
      <c r="A70" s="39" t="str">
        <f>"경  비 : " &amp; TEXT(TRUNC(O70,0), "#,##0") &amp; " / 3.6"</f>
        <v>경  비 : 35,102 / 3.6</v>
      </c>
      <c r="B70" s="47"/>
      <c r="C70" s="47"/>
      <c r="D70" s="47"/>
      <c r="E70" s="47"/>
      <c r="F70" s="41"/>
      <c r="I70" s="1" t="s">
        <v>59</v>
      </c>
      <c r="J70">
        <v>1</v>
      </c>
      <c r="L70">
        <v>0</v>
      </c>
      <c r="O70">
        <f>O66</f>
        <v>35102</v>
      </c>
    </row>
    <row r="71" spans="1:15" ht="20.100000000000001" customHeight="1">
      <c r="A71" s="39"/>
      <c r="B71" s="47"/>
      <c r="C71" s="47"/>
      <c r="D71" s="47"/>
      <c r="E71" s="47"/>
      <c r="F71" s="41"/>
      <c r="J71">
        <v>0</v>
      </c>
      <c r="L71">
        <v>0</v>
      </c>
    </row>
    <row r="72" spans="1:15" ht="20.100000000000001" customHeight="1">
      <c r="A72" s="39" t="s">
        <v>255</v>
      </c>
      <c r="B72" s="47"/>
      <c r="C72" s="47"/>
      <c r="D72" s="47"/>
      <c r="E72" s="47"/>
      <c r="F72" s="41"/>
      <c r="J72">
        <v>0</v>
      </c>
      <c r="L72">
        <v>0</v>
      </c>
    </row>
    <row r="73" spans="1:15" ht="20.100000000000001" customHeight="1">
      <c r="A73" s="39" t="str">
        <f>"노무비 보통인부 인  " &amp; TEXT(TRUNC(N73,0), "#,##0") &amp; " * (1/(8*3.6))"</f>
        <v>노무비 보통인부 인  169,804 * (1/(8*3.6))</v>
      </c>
      <c r="B73" s="47"/>
      <c r="C73" s="47"/>
      <c r="D73" s="47"/>
      <c r="E73" s="47"/>
      <c r="F73" s="41"/>
      <c r="H73" s="1" t="s">
        <v>76</v>
      </c>
      <c r="I73" s="1" t="s">
        <v>59</v>
      </c>
      <c r="J73">
        <v>1</v>
      </c>
      <c r="L73">
        <f>ROUND(1/(8*L67), 5)</f>
        <v>3.4720000000000001E-2</v>
      </c>
      <c r="M73">
        <v>0</v>
      </c>
      <c r="N73">
        <v>169804</v>
      </c>
      <c r="O73">
        <v>0</v>
      </c>
    </row>
    <row r="74" spans="1:15" ht="20.100000000000001" customHeight="1">
      <c r="A74" s="39"/>
      <c r="B74" s="47"/>
      <c r="C74" s="47"/>
      <c r="D74" s="47"/>
      <c r="E74" s="47"/>
      <c r="F74" s="41"/>
      <c r="J74">
        <v>0</v>
      </c>
      <c r="L74">
        <v>0</v>
      </c>
    </row>
    <row r="75" spans="1:15" ht="20.100000000000001" customHeight="1">
      <c r="A75" s="39" t="s">
        <v>256</v>
      </c>
      <c r="B75" s="47"/>
      <c r="C75" s="47"/>
      <c r="D75" s="47"/>
      <c r="E75" s="47"/>
      <c r="F75" s="41"/>
      <c r="J75">
        <v>0</v>
      </c>
      <c r="L75">
        <v>0</v>
      </c>
    </row>
    <row r="76" spans="1:15" ht="20.100000000000001" customHeight="1">
      <c r="A76" s="39" t="str">
        <f>"치즐 0.7㎥ EA  " &amp; TEXT(TRUNC(M76,0), "#,##0") &amp; " * (0.01/3.6)"</f>
        <v>치즐 0.7㎥ EA  223,000 * (0.01/3.6)</v>
      </c>
      <c r="B76" s="47"/>
      <c r="C76" s="47"/>
      <c r="D76" s="47"/>
      <c r="E76" s="47"/>
      <c r="F76" s="41"/>
      <c r="H76" s="1" t="s">
        <v>0</v>
      </c>
      <c r="I76" s="1" t="s">
        <v>59</v>
      </c>
      <c r="J76">
        <v>1</v>
      </c>
      <c r="L76">
        <v>2.7777777777777779E-3</v>
      </c>
      <c r="M76">
        <v>223000</v>
      </c>
      <c r="N76">
        <v>0</v>
      </c>
      <c r="O76">
        <v>0</v>
      </c>
    </row>
    <row r="77" spans="1:15" ht="20.100000000000001" customHeight="1">
      <c r="A77" s="39"/>
      <c r="B77" s="47"/>
      <c r="C77" s="47"/>
      <c r="D77" s="47"/>
      <c r="E77" s="47"/>
      <c r="F77" s="41"/>
      <c r="J77">
        <v>0</v>
      </c>
      <c r="L77">
        <v>0</v>
      </c>
    </row>
    <row r="78" spans="1:15" ht="20.100000000000001" customHeight="1">
      <c r="A78" s="39" t="s">
        <v>257</v>
      </c>
      <c r="B78" s="47"/>
      <c r="C78" s="47"/>
      <c r="D78" s="47"/>
      <c r="E78" s="47"/>
      <c r="F78" s="41"/>
      <c r="J78">
        <v>0</v>
      </c>
      <c r="L78">
        <v>0</v>
      </c>
    </row>
    <row r="79" spans="1:15" ht="20.100000000000001" customHeight="1">
      <c r="A79" s="39" t="s">
        <v>258</v>
      </c>
      <c r="B79" s="47"/>
      <c r="C79" s="47"/>
      <c r="D79" s="47"/>
      <c r="E79" s="47"/>
      <c r="F79" s="51"/>
      <c r="J79">
        <v>0</v>
      </c>
      <c r="L79">
        <v>1</v>
      </c>
      <c r="M79">
        <v>22501</v>
      </c>
      <c r="N79">
        <v>57077</v>
      </c>
      <c r="O79">
        <v>24001</v>
      </c>
    </row>
    <row r="80" spans="1:15" ht="20.100000000000001" customHeight="1">
      <c r="A80" s="39" t="str">
        <f>"용량계수 : " &amp;"q1 = " &amp; L80</f>
        <v>용량계수 : q1 = 0.7</v>
      </c>
      <c r="B80" s="47">
        <v>0</v>
      </c>
      <c r="C80" s="47">
        <v>0</v>
      </c>
      <c r="D80" s="47">
        <v>0</v>
      </c>
      <c r="E80" s="47">
        <v>0</v>
      </c>
      <c r="F80" s="41"/>
      <c r="J80">
        <v>0</v>
      </c>
      <c r="K80" t="s">
        <v>259</v>
      </c>
      <c r="L80">
        <v>0.7</v>
      </c>
    </row>
    <row r="81" spans="1:15" ht="20.100000000000001" customHeight="1">
      <c r="A81" s="39" t="str">
        <f>"토량환산계수 : " &amp;"f = 1/1.5 = " &amp; L81</f>
        <v>토량환산계수 : f = 1/1.5 = 0.67</v>
      </c>
      <c r="B81" s="47">
        <v>0</v>
      </c>
      <c r="C81" s="47">
        <v>0</v>
      </c>
      <c r="D81" s="47">
        <v>0</v>
      </c>
      <c r="E81" s="47">
        <v>0</v>
      </c>
      <c r="F81" s="41"/>
      <c r="J81">
        <v>0</v>
      </c>
      <c r="K81" t="s">
        <v>238</v>
      </c>
      <c r="L81">
        <v>0.67</v>
      </c>
    </row>
    <row r="82" spans="1:15" ht="20.100000000000001" customHeight="1">
      <c r="A82" s="39" t="str">
        <f>"작업효율 : " &amp;"E = " &amp; L82</f>
        <v>작업효율 : E = 0.45</v>
      </c>
      <c r="B82" s="47">
        <v>0</v>
      </c>
      <c r="C82" s="47">
        <v>0</v>
      </c>
      <c r="D82" s="47">
        <v>0</v>
      </c>
      <c r="E82" s="47">
        <v>0</v>
      </c>
      <c r="F82" s="41"/>
      <c r="J82">
        <v>0</v>
      </c>
      <c r="K82" t="s">
        <v>239</v>
      </c>
      <c r="L82">
        <v>0.45</v>
      </c>
    </row>
    <row r="83" spans="1:15" ht="20.100000000000001" customHeight="1">
      <c r="A83" s="39" t="str">
        <f>"버킷계수 : " &amp;"k = " &amp; L83</f>
        <v>버킷계수 : k = 0.55</v>
      </c>
      <c r="B83" s="47">
        <v>0</v>
      </c>
      <c r="C83" s="47">
        <v>0</v>
      </c>
      <c r="D83" s="47">
        <v>0</v>
      </c>
      <c r="E83" s="47">
        <v>0</v>
      </c>
      <c r="F83" s="41"/>
      <c r="J83">
        <v>0</v>
      </c>
      <c r="K83" t="s">
        <v>237</v>
      </c>
      <c r="L83">
        <v>0.55000000000000004</v>
      </c>
    </row>
    <row r="84" spans="1:15" ht="20.100000000000001" customHeight="1">
      <c r="A84" s="39" t="str">
        <f>"1회 사이클 시간 : " &amp;"Cm = " &amp; L84</f>
        <v>1회 사이클 시간 : Cm = 20</v>
      </c>
      <c r="B84" s="47">
        <v>0</v>
      </c>
      <c r="C84" s="47">
        <v>0</v>
      </c>
      <c r="D84" s="47">
        <v>0</v>
      </c>
      <c r="E84" s="47">
        <v>0</v>
      </c>
      <c r="F84" s="41"/>
      <c r="J84">
        <v>0</v>
      </c>
      <c r="K84" t="s">
        <v>240</v>
      </c>
      <c r="L84">
        <v>20</v>
      </c>
    </row>
    <row r="85" spans="1:15" ht="20.100000000000001" customHeight="1">
      <c r="A85" s="39" t="str">
        <f>"시간당작업량 : " &amp;"Q = (3600*q1*k*f*E)/Cm = " &amp; L85</f>
        <v>시간당작업량 : Q = (3600*q1*k*f*E)/Cm = 20.894</v>
      </c>
      <c r="B85" s="47">
        <v>0</v>
      </c>
      <c r="C85" s="47">
        <v>0</v>
      </c>
      <c r="D85" s="47">
        <v>0</v>
      </c>
      <c r="E85" s="47">
        <v>0</v>
      </c>
      <c r="F85" s="41"/>
      <c r="J85">
        <v>0</v>
      </c>
      <c r="K85" t="s">
        <v>241</v>
      </c>
      <c r="L85">
        <f>ROUND((3600*L80*L83*L81*L82)/L84, 3)</f>
        <v>20.893999999999998</v>
      </c>
    </row>
    <row r="86" spans="1:15" ht="20.100000000000001" customHeight="1">
      <c r="A86" s="39" t="str">
        <f>"재료비 : " &amp; TEXT(TRUNC(M86,0), "#,##0") &amp; " / 20.894"</f>
        <v>재료비 : 22,501 / 20.894</v>
      </c>
      <c r="B86" s="47"/>
      <c r="C86" s="47"/>
      <c r="D86" s="47"/>
      <c r="E86" s="47"/>
      <c r="F86" s="41"/>
      <c r="I86" s="1" t="s">
        <v>59</v>
      </c>
      <c r="J86">
        <v>1</v>
      </c>
      <c r="L86">
        <v>0</v>
      </c>
      <c r="M86">
        <f>M79</f>
        <v>22501</v>
      </c>
    </row>
    <row r="87" spans="1:15" ht="20.100000000000001" customHeight="1">
      <c r="A87" s="39" t="str">
        <f>"노무비 : " &amp; TEXT(TRUNC(N87,0), "#,##0") &amp; " / 20.894"</f>
        <v>노무비 : 57,077 / 20.894</v>
      </c>
      <c r="B87" s="47"/>
      <c r="C87" s="47"/>
      <c r="D87" s="47"/>
      <c r="E87" s="47"/>
      <c r="F87" s="41"/>
      <c r="I87" s="1" t="s">
        <v>59</v>
      </c>
      <c r="J87">
        <v>1</v>
      </c>
      <c r="L87">
        <v>0</v>
      </c>
      <c r="N87">
        <f>N79</f>
        <v>57077</v>
      </c>
    </row>
    <row r="88" spans="1:15" ht="20.100000000000001" customHeight="1">
      <c r="A88" s="39" t="str">
        <f>"경  비 : " &amp; TEXT(TRUNC(O88,0), "#,##0") &amp; " / 20.894"</f>
        <v>경  비 : 24,001 / 20.894</v>
      </c>
      <c r="B88" s="47"/>
      <c r="C88" s="47"/>
      <c r="D88" s="47"/>
      <c r="E88" s="47"/>
      <c r="F88" s="41"/>
      <c r="I88" s="1" t="s">
        <v>59</v>
      </c>
      <c r="J88">
        <v>1</v>
      </c>
      <c r="L88">
        <v>0</v>
      </c>
      <c r="O88">
        <f>O79</f>
        <v>24001</v>
      </c>
    </row>
    <row r="89" spans="1:15" ht="20.100000000000001" customHeight="1">
      <c r="A89" s="39" t="s">
        <v>63</v>
      </c>
      <c r="B89" s="47"/>
      <c r="C89" s="47"/>
      <c r="D89" s="47"/>
      <c r="E89" s="47"/>
      <c r="F89" s="41"/>
      <c r="J89">
        <v>0</v>
      </c>
      <c r="L89">
        <v>0</v>
      </c>
    </row>
    <row r="90" spans="1:15" ht="20.100000000000001" customHeight="1">
      <c r="A90" s="42" t="s">
        <v>31</v>
      </c>
      <c r="B90" s="48">
        <f>ROUNDDOWN(SUMIF(J65:J89, "1", B65:B89), 0)</f>
        <v>0</v>
      </c>
      <c r="C90" s="48">
        <f>ROUNDDOWN(SUMIF(J65:J89, "1", C65:C89), 0)</f>
        <v>0</v>
      </c>
      <c r="D90" s="48">
        <f>ROUNDDOWN(SUMIF(J65:J89, "1", D65:D89), 0)</f>
        <v>0</v>
      </c>
      <c r="E90" s="48">
        <f>B90+C90+D90</f>
        <v>0</v>
      </c>
      <c r="F90" s="45"/>
    </row>
    <row r="91" spans="1:15" ht="20.100000000000001" customHeight="1">
      <c r="A91" s="39"/>
      <c r="B91" s="47"/>
      <c r="C91" s="47"/>
      <c r="D91" s="47"/>
      <c r="E91" s="47"/>
      <c r="F91" s="41"/>
    </row>
    <row r="92" spans="1:15" ht="20.100000000000001" customHeight="1">
      <c r="A92" s="144" t="s">
        <v>260</v>
      </c>
      <c r="B92" s="146"/>
      <c r="C92" s="146"/>
      <c r="D92" s="146"/>
      <c r="E92" s="146"/>
      <c r="F92" s="50"/>
    </row>
    <row r="93" spans="1:15" ht="20.100000000000001" customHeight="1">
      <c r="A93" s="39" t="s">
        <v>261</v>
      </c>
      <c r="B93" s="47">
        <v>0</v>
      </c>
      <c r="C93" s="47">
        <v>0</v>
      </c>
      <c r="D93" s="47">
        <v>0</v>
      </c>
      <c r="E93" s="47">
        <v>0</v>
      </c>
      <c r="F93" s="41"/>
      <c r="J93">
        <v>0</v>
      </c>
      <c r="L93">
        <v>0</v>
      </c>
    </row>
    <row r="94" spans="1:15" ht="20.100000000000001" customHeight="1">
      <c r="A94" s="39" t="s">
        <v>262</v>
      </c>
      <c r="B94" s="47"/>
      <c r="C94" s="47"/>
      <c r="D94" s="47"/>
      <c r="E94" s="47"/>
      <c r="F94" s="51"/>
      <c r="J94">
        <v>0</v>
      </c>
      <c r="L94">
        <v>1</v>
      </c>
      <c r="M94">
        <v>21395</v>
      </c>
      <c r="N94">
        <v>57077</v>
      </c>
      <c r="O94">
        <v>35102</v>
      </c>
    </row>
    <row r="95" spans="1:15" ht="20.100000000000001" customHeight="1">
      <c r="A95" s="39" t="str">
        <f>"시간당작업량(㎥/hr) : " &amp;"Q = " &amp; L95</f>
        <v>시간당작업량(㎥/hr) : Q = 16</v>
      </c>
      <c r="B95" s="47"/>
      <c r="C95" s="47"/>
      <c r="D95" s="47"/>
      <c r="E95" s="47"/>
      <c r="F95" s="41"/>
      <c r="J95">
        <v>0</v>
      </c>
      <c r="K95" t="s">
        <v>241</v>
      </c>
      <c r="L95">
        <v>16</v>
      </c>
    </row>
    <row r="96" spans="1:15" ht="20.100000000000001" customHeight="1">
      <c r="A96" s="39" t="str">
        <f>"재료비 : " &amp; TEXT(TRUNC(M96,0), "#,##0") &amp; " / 16"</f>
        <v>재료비 : 21,395 / 16</v>
      </c>
      <c r="B96" s="47"/>
      <c r="C96" s="47"/>
      <c r="D96" s="47"/>
      <c r="E96" s="47"/>
      <c r="F96" s="41"/>
      <c r="I96" s="1" t="s">
        <v>59</v>
      </c>
      <c r="J96">
        <v>1</v>
      </c>
      <c r="L96">
        <v>0</v>
      </c>
      <c r="M96">
        <f>M94</f>
        <v>21395</v>
      </c>
    </row>
    <row r="97" spans="1:15" ht="20.100000000000001" customHeight="1">
      <c r="A97" s="39" t="str">
        <f>"노무비 : " &amp; TEXT(TRUNC(N97,0), "#,##0") &amp; " / 16"</f>
        <v>노무비 : 57,077 / 16</v>
      </c>
      <c r="B97" s="47"/>
      <c r="C97" s="47"/>
      <c r="D97" s="47"/>
      <c r="E97" s="47"/>
      <c r="F97" s="41"/>
      <c r="I97" s="1" t="s">
        <v>59</v>
      </c>
      <c r="J97">
        <v>1</v>
      </c>
      <c r="L97">
        <v>0</v>
      </c>
      <c r="N97">
        <f>N94</f>
        <v>57077</v>
      </c>
    </row>
    <row r="98" spans="1:15" ht="20.100000000000001" customHeight="1">
      <c r="A98" s="39" t="str">
        <f>"경  비 : " &amp; TEXT(TRUNC(O98,0), "#,##0") &amp; " / 16"</f>
        <v>경  비 : 35,102 / 16</v>
      </c>
      <c r="B98" s="47"/>
      <c r="C98" s="47"/>
      <c r="D98" s="47"/>
      <c r="E98" s="47"/>
      <c r="F98" s="41"/>
      <c r="I98" s="1" t="s">
        <v>59</v>
      </c>
      <c r="J98">
        <v>1</v>
      </c>
      <c r="L98">
        <v>0</v>
      </c>
      <c r="O98">
        <f>O94</f>
        <v>35102</v>
      </c>
    </row>
    <row r="99" spans="1:15" ht="20.100000000000001" customHeight="1">
      <c r="A99" s="39" t="s">
        <v>263</v>
      </c>
      <c r="B99" s="47"/>
      <c r="C99" s="47"/>
      <c r="D99" s="47"/>
      <c r="E99" s="47"/>
      <c r="F99" s="41"/>
      <c r="J99">
        <v>0</v>
      </c>
      <c r="L99">
        <v>0</v>
      </c>
    </row>
    <row r="100" spans="1:15" ht="20.100000000000001" customHeight="1">
      <c r="A100" s="39" t="str">
        <f>"노무비 보통인부 인  " &amp; TEXT(TRUNC(N100,0), "#,##0") &amp; " * (1/(16*8))"</f>
        <v>노무비 보통인부 인  169,804 * (1/(16*8))</v>
      </c>
      <c r="B100" s="47"/>
      <c r="C100" s="47"/>
      <c r="D100" s="47"/>
      <c r="E100" s="47"/>
      <c r="F100" s="41"/>
      <c r="H100" s="1" t="s">
        <v>76</v>
      </c>
      <c r="I100" s="1" t="s">
        <v>59</v>
      </c>
      <c r="J100">
        <v>1</v>
      </c>
      <c r="L100">
        <f>ROUND(1/(L95*8), 5)</f>
        <v>7.8100000000000001E-3</v>
      </c>
      <c r="M100">
        <v>0</v>
      </c>
      <c r="N100">
        <v>169804</v>
      </c>
      <c r="O100">
        <v>0</v>
      </c>
    </row>
    <row r="101" spans="1:15" ht="20.100000000000001" customHeight="1">
      <c r="A101" s="39" t="s">
        <v>264</v>
      </c>
      <c r="B101" s="47"/>
      <c r="C101" s="47"/>
      <c r="D101" s="47"/>
      <c r="E101" s="47"/>
      <c r="F101" s="41"/>
      <c r="J101">
        <v>0</v>
      </c>
      <c r="L101">
        <v>0</v>
      </c>
    </row>
    <row r="102" spans="1:15" ht="20.100000000000001" customHeight="1">
      <c r="A102" s="39" t="str">
        <f>"치즐 0.7㎥ EA  " &amp; TEXT(TRUNC(M102,0), "#,##0") &amp; " * (0.01/16)"</f>
        <v>치즐 0.7㎥ EA  223,000 * (0.01/16)</v>
      </c>
      <c r="B102" s="47"/>
      <c r="C102" s="47"/>
      <c r="D102" s="47"/>
      <c r="E102" s="47"/>
      <c r="F102" s="41"/>
      <c r="H102" s="1" t="s">
        <v>58</v>
      </c>
      <c r="I102" s="1" t="s">
        <v>59</v>
      </c>
      <c r="J102">
        <v>1</v>
      </c>
      <c r="L102">
        <v>6.3000000000000003E-4</v>
      </c>
      <c r="M102">
        <v>223000</v>
      </c>
      <c r="N102">
        <v>0</v>
      </c>
      <c r="O102">
        <v>0</v>
      </c>
    </row>
    <row r="103" spans="1:15" ht="20.100000000000001" customHeight="1">
      <c r="A103" s="39" t="s">
        <v>265</v>
      </c>
      <c r="B103" s="47">
        <v>0</v>
      </c>
      <c r="C103" s="47">
        <v>0</v>
      </c>
      <c r="D103" s="47">
        <v>0</v>
      </c>
      <c r="E103" s="47">
        <v>0</v>
      </c>
      <c r="F103" s="41"/>
      <c r="J103">
        <v>0</v>
      </c>
      <c r="L103">
        <v>0</v>
      </c>
    </row>
    <row r="104" spans="1:15" ht="20.100000000000001" customHeight="1">
      <c r="A104" s="39" t="s">
        <v>258</v>
      </c>
      <c r="B104" s="47"/>
      <c r="C104" s="47"/>
      <c r="D104" s="47"/>
      <c r="E104" s="47"/>
      <c r="F104" s="51"/>
      <c r="J104">
        <v>0</v>
      </c>
      <c r="L104">
        <v>1</v>
      </c>
      <c r="M104">
        <v>22501</v>
      </c>
      <c r="N104">
        <v>57077</v>
      </c>
      <c r="O104">
        <v>24001</v>
      </c>
    </row>
    <row r="105" spans="1:15" ht="20.100000000000001" customHeight="1">
      <c r="A105" s="39" t="str">
        <f>"버킷용량(㎥) : " &amp;"q1 = " &amp; L105</f>
        <v>버킷용량(㎥) : q1 = 0.7</v>
      </c>
      <c r="B105" s="47">
        <v>0</v>
      </c>
      <c r="C105" s="47">
        <v>0</v>
      </c>
      <c r="D105" s="47">
        <v>0</v>
      </c>
      <c r="E105" s="47">
        <v>0</v>
      </c>
      <c r="F105" s="41"/>
      <c r="J105">
        <v>0</v>
      </c>
      <c r="K105" t="s">
        <v>259</v>
      </c>
      <c r="L105">
        <v>0.7</v>
      </c>
    </row>
    <row r="106" spans="1:15" ht="20.100000000000001" customHeight="1">
      <c r="A106" s="39" t="str">
        <f>"버킷계수 : " &amp;"k = " &amp; L106</f>
        <v>버킷계수 : k = 0.55</v>
      </c>
      <c r="B106" s="47">
        <v>0</v>
      </c>
      <c r="C106" s="47">
        <v>0</v>
      </c>
      <c r="D106" s="47">
        <v>0</v>
      </c>
      <c r="E106" s="47">
        <v>0</v>
      </c>
      <c r="F106" s="41"/>
      <c r="J106">
        <v>0</v>
      </c>
      <c r="K106" t="s">
        <v>237</v>
      </c>
      <c r="L106">
        <v>0.55000000000000004</v>
      </c>
    </row>
    <row r="107" spans="1:15" ht="20.100000000000001" customHeight="1">
      <c r="A107" s="39" t="str">
        <f>"토량환산계수 : " &amp;"f = 1/1.5 = " &amp; L107</f>
        <v>토량환산계수 : f = 1/1.5 = 0.66667</v>
      </c>
      <c r="B107" s="47">
        <v>0</v>
      </c>
      <c r="C107" s="47">
        <v>0</v>
      </c>
      <c r="D107" s="47">
        <v>0</v>
      </c>
      <c r="E107" s="47">
        <v>0</v>
      </c>
      <c r="F107" s="41"/>
      <c r="J107">
        <v>0</v>
      </c>
      <c r="K107" t="s">
        <v>238</v>
      </c>
      <c r="L107">
        <v>0.66666999999999998</v>
      </c>
    </row>
    <row r="108" spans="1:15" ht="20.100000000000001" customHeight="1">
      <c r="A108" s="39" t="str">
        <f>"작업효율 : " &amp;"E = " &amp; L108</f>
        <v>작업효율 : E = 0.45</v>
      </c>
      <c r="B108" s="47">
        <v>0</v>
      </c>
      <c r="C108" s="47">
        <v>0</v>
      </c>
      <c r="D108" s="47">
        <v>0</v>
      </c>
      <c r="E108" s="47">
        <v>0</v>
      </c>
      <c r="F108" s="41"/>
      <c r="J108">
        <v>0</v>
      </c>
      <c r="K108" t="s">
        <v>239</v>
      </c>
      <c r="L108">
        <v>0.45</v>
      </c>
    </row>
    <row r="109" spans="1:15" ht="20.100000000000001" customHeight="1">
      <c r="A109" s="39" t="str">
        <f>"1회사이클시간(초) : " &amp;"Cm = " &amp; L109</f>
        <v>1회사이클시간(초) : Cm = 20</v>
      </c>
      <c r="B109" s="47">
        <v>0</v>
      </c>
      <c r="C109" s="47">
        <v>0</v>
      </c>
      <c r="D109" s="47">
        <v>0</v>
      </c>
      <c r="E109" s="47">
        <v>0</v>
      </c>
      <c r="F109" s="41"/>
      <c r="J109">
        <v>0</v>
      </c>
      <c r="K109" t="s">
        <v>240</v>
      </c>
      <c r="L109">
        <v>20</v>
      </c>
    </row>
    <row r="110" spans="1:15" ht="20.100000000000001" customHeight="1">
      <c r="A110" s="39" t="str">
        <f>"시간당작업량(㎥/hr) : " &amp;"Q = (3600*q1*k*f*E)/Cm = " &amp; L110</f>
        <v>시간당작업량(㎥/hr) : Q = (3600*q1*k*f*E)/Cm = 20.79</v>
      </c>
      <c r="B110" s="47">
        <v>0</v>
      </c>
      <c r="C110" s="47">
        <v>0</v>
      </c>
      <c r="D110" s="47">
        <v>0</v>
      </c>
      <c r="E110" s="47">
        <v>0</v>
      </c>
      <c r="F110" s="41"/>
      <c r="J110">
        <v>0</v>
      </c>
      <c r="K110" t="s">
        <v>241</v>
      </c>
      <c r="L110">
        <f>ROUND((3600*L105*L106*L107*L108)/L109, 3)</f>
        <v>20.79</v>
      </c>
    </row>
    <row r="111" spans="1:15" ht="20.100000000000001" customHeight="1">
      <c r="A111" s="39" t="str">
        <f>"재료비 : " &amp; TEXT(TRUNC(M111,0), "#,##0") &amp; " / 20.79"</f>
        <v>재료비 : 22,501 / 20.79</v>
      </c>
      <c r="B111" s="47"/>
      <c r="C111" s="47"/>
      <c r="D111" s="47"/>
      <c r="E111" s="47"/>
      <c r="F111" s="41"/>
      <c r="I111" s="1" t="s">
        <v>59</v>
      </c>
      <c r="J111">
        <v>1</v>
      </c>
      <c r="L111">
        <v>0</v>
      </c>
      <c r="M111">
        <f>M104</f>
        <v>22501</v>
      </c>
    </row>
    <row r="112" spans="1:15" ht="20.100000000000001" customHeight="1">
      <c r="A112" s="39" t="str">
        <f>"노무비 : " &amp; TEXT(TRUNC(N112,0), "#,##0") &amp; " / 20.79"</f>
        <v>노무비 : 57,077 / 20.79</v>
      </c>
      <c r="B112" s="47"/>
      <c r="C112" s="47"/>
      <c r="D112" s="47"/>
      <c r="E112" s="47"/>
      <c r="F112" s="41"/>
      <c r="I112" s="1" t="s">
        <v>59</v>
      </c>
      <c r="J112">
        <v>1</v>
      </c>
      <c r="L112">
        <v>0</v>
      </c>
      <c r="N112">
        <f>N104</f>
        <v>57077</v>
      </c>
    </row>
    <row r="113" spans="1:15" ht="20.100000000000001" customHeight="1">
      <c r="A113" s="39" t="str">
        <f>"경  비 : " &amp; TEXT(TRUNC(O113,0), "#,##0") &amp; " / 20.79"</f>
        <v>경  비 : 24,001 / 20.79</v>
      </c>
      <c r="B113" s="47"/>
      <c r="C113" s="47"/>
      <c r="D113" s="47"/>
      <c r="E113" s="47"/>
      <c r="F113" s="41"/>
      <c r="I113" s="1" t="s">
        <v>59</v>
      </c>
      <c r="J113">
        <v>1</v>
      </c>
      <c r="L113">
        <v>0</v>
      </c>
      <c r="O113">
        <f>O104</f>
        <v>24001</v>
      </c>
    </row>
    <row r="114" spans="1:15" ht="20.100000000000001" customHeight="1">
      <c r="A114" s="39" t="s">
        <v>63</v>
      </c>
      <c r="B114" s="47"/>
      <c r="C114" s="47"/>
      <c r="D114" s="47"/>
      <c r="E114" s="47"/>
      <c r="F114" s="41"/>
      <c r="J114">
        <v>0</v>
      </c>
      <c r="L114">
        <v>0</v>
      </c>
    </row>
    <row r="115" spans="1:15" ht="20.100000000000001" customHeight="1">
      <c r="A115" s="42" t="s">
        <v>31</v>
      </c>
      <c r="B115" s="48">
        <f>ROUNDDOWN(SUMIF(J93:J114, "1", B93:B114), 0)</f>
        <v>0</v>
      </c>
      <c r="C115" s="48">
        <f>ROUNDDOWN(SUMIF(J93:J114, "1", C93:C114), 0)</f>
        <v>0</v>
      </c>
      <c r="D115" s="48">
        <f>ROUNDDOWN(SUMIF(J93:J114, "1", D93:D114), 0)</f>
        <v>0</v>
      </c>
      <c r="E115" s="48">
        <f>B115+C115+D115</f>
        <v>0</v>
      </c>
      <c r="F115" s="45"/>
    </row>
    <row r="116" spans="1:15" ht="20.100000000000001" customHeight="1">
      <c r="A116" s="39"/>
      <c r="B116" s="47"/>
      <c r="C116" s="47"/>
      <c r="D116" s="47"/>
      <c r="E116" s="47"/>
      <c r="F116" s="41"/>
    </row>
    <row r="117" spans="1:15" ht="20.100000000000001" customHeight="1">
      <c r="A117" s="144" t="s">
        <v>266</v>
      </c>
      <c r="B117" s="146"/>
      <c r="C117" s="146"/>
      <c r="D117" s="146"/>
      <c r="E117" s="146"/>
      <c r="F117" s="50"/>
    </row>
    <row r="118" spans="1:15" ht="20.100000000000001" customHeight="1">
      <c r="A118" s="39" t="str">
        <f>"1일 시공량 : " &amp;"Qd = " &amp; L118</f>
        <v>1일 시공량 : Qd = 260</v>
      </c>
      <c r="B118" s="47"/>
      <c r="C118" s="47"/>
      <c r="D118" s="47"/>
      <c r="E118" s="47"/>
      <c r="F118" s="41"/>
      <c r="J118">
        <v>0</v>
      </c>
      <c r="K118" t="s">
        <v>267</v>
      </c>
      <c r="L118">
        <v>260</v>
      </c>
    </row>
    <row r="119" spans="1:15" ht="20.100000000000001" customHeight="1">
      <c r="A119" s="39" t="str">
        <f>"노무비 포장공 인  " &amp; TEXT(TRUNC(N119,0), "#,##0") &amp; " * (2/260)"</f>
        <v>노무비 포장공 인  267,989 * (2/260)</v>
      </c>
      <c r="B119" s="47"/>
      <c r="C119" s="47"/>
      <c r="D119" s="47"/>
      <c r="E119" s="47"/>
      <c r="F119" s="41"/>
      <c r="H119" s="1" t="s">
        <v>76</v>
      </c>
      <c r="I119" s="1" t="s">
        <v>59</v>
      </c>
      <c r="J119">
        <v>1</v>
      </c>
      <c r="L119">
        <f>ROUND(2/L118, 5)</f>
        <v>7.6899999999999998E-3</v>
      </c>
      <c r="M119">
        <v>0</v>
      </c>
      <c r="N119">
        <v>267989</v>
      </c>
      <c r="O119">
        <v>0</v>
      </c>
    </row>
    <row r="120" spans="1:15" ht="20.100000000000001" customHeight="1">
      <c r="A120" s="39" t="str">
        <f>"노무비 보통인부 인  " &amp; TEXT(TRUNC(N120,0), "#,##0") &amp; " * (1/260)"</f>
        <v>노무비 보통인부 인  169,804 * (1/260)</v>
      </c>
      <c r="B120" s="47"/>
      <c r="C120" s="47"/>
      <c r="D120" s="47"/>
      <c r="E120" s="47"/>
      <c r="F120" s="41"/>
      <c r="H120" s="1" t="s">
        <v>76</v>
      </c>
      <c r="I120" s="1" t="s">
        <v>59</v>
      </c>
      <c r="J120">
        <v>1</v>
      </c>
      <c r="L120">
        <f>ROUND(1/L118, 5)</f>
        <v>3.8500000000000001E-3</v>
      </c>
      <c r="M120">
        <v>0</v>
      </c>
      <c r="N120">
        <v>169804</v>
      </c>
      <c r="O120">
        <v>0</v>
      </c>
    </row>
    <row r="121" spans="1:15" ht="20.100000000000001" customHeight="1">
      <c r="A121" s="39" t="s">
        <v>268</v>
      </c>
      <c r="B121" s="47"/>
      <c r="C121" s="47"/>
      <c r="D121" s="47"/>
      <c r="E121" s="47"/>
      <c r="F121" s="51"/>
      <c r="J121">
        <v>0</v>
      </c>
      <c r="L121">
        <v>1</v>
      </c>
      <c r="M121">
        <v>6363</v>
      </c>
      <c r="N121">
        <v>49479</v>
      </c>
      <c r="O121">
        <v>6400</v>
      </c>
    </row>
    <row r="122" spans="1:15" ht="20.100000000000001" customHeight="1">
      <c r="A122" s="39" t="str">
        <f>"시간당 작업량 : " &amp;"Q = Qd/8 = " &amp; L122</f>
        <v>시간당 작업량 : Q = Qd/8 = 32.5</v>
      </c>
      <c r="B122" s="47"/>
      <c r="C122" s="47"/>
      <c r="D122" s="47"/>
      <c r="E122" s="47"/>
      <c r="F122" s="41"/>
      <c r="J122">
        <v>0</v>
      </c>
      <c r="K122" t="s">
        <v>241</v>
      </c>
      <c r="L122">
        <f>ROUND(L118/8, 3)</f>
        <v>32.5</v>
      </c>
    </row>
    <row r="123" spans="1:15" ht="20.100000000000001" customHeight="1">
      <c r="A123" s="39" t="str">
        <f>"재료비 : " &amp; TEXT(TRUNC(M123,0), "#,##0") &amp; " / 32.5"</f>
        <v>재료비 : 6,363 / 32.5</v>
      </c>
      <c r="B123" s="47"/>
      <c r="C123" s="47"/>
      <c r="D123" s="47"/>
      <c r="E123" s="47"/>
      <c r="F123" s="41"/>
      <c r="I123" s="1" t="s">
        <v>59</v>
      </c>
      <c r="J123">
        <v>1</v>
      </c>
      <c r="L123">
        <v>0</v>
      </c>
      <c r="M123">
        <f>M121</f>
        <v>6363</v>
      </c>
    </row>
    <row r="124" spans="1:15" ht="20.100000000000001" customHeight="1">
      <c r="A124" s="39" t="str">
        <f>"노무비 : " &amp; TEXT(TRUNC(N124,0), "#,##0") &amp; " / 32.5"</f>
        <v>노무비 : 49,479 / 32.5</v>
      </c>
      <c r="B124" s="47"/>
      <c r="C124" s="47"/>
      <c r="D124" s="47"/>
      <c r="E124" s="47"/>
      <c r="F124" s="41"/>
      <c r="I124" s="1" t="s">
        <v>59</v>
      </c>
      <c r="J124">
        <v>1</v>
      </c>
      <c r="L124">
        <v>0</v>
      </c>
      <c r="N124">
        <f>N121</f>
        <v>49479</v>
      </c>
    </row>
    <row r="125" spans="1:15" ht="20.100000000000001" customHeight="1">
      <c r="A125" s="39" t="str">
        <f>"경  비 : " &amp; TEXT(TRUNC(O125,0), "#,##0") &amp; " / 32.5"</f>
        <v>경  비 : 6,400 / 32.5</v>
      </c>
      <c r="B125" s="47"/>
      <c r="C125" s="47"/>
      <c r="D125" s="47"/>
      <c r="E125" s="47"/>
      <c r="F125" s="41"/>
      <c r="I125" s="1" t="s">
        <v>59</v>
      </c>
      <c r="J125">
        <v>1</v>
      </c>
      <c r="L125">
        <v>0</v>
      </c>
      <c r="O125">
        <f>O121</f>
        <v>6400</v>
      </c>
    </row>
    <row r="126" spans="1:15" ht="20.100000000000001" customHeight="1">
      <c r="A126" s="39" t="s">
        <v>63</v>
      </c>
      <c r="B126" s="47"/>
      <c r="C126" s="47"/>
      <c r="D126" s="47"/>
      <c r="E126" s="47"/>
      <c r="F126" s="41"/>
      <c r="J126">
        <v>0</v>
      </c>
      <c r="L126">
        <v>0</v>
      </c>
    </row>
    <row r="127" spans="1:15" ht="20.100000000000001" customHeight="1">
      <c r="A127" s="42" t="s">
        <v>31</v>
      </c>
      <c r="B127" s="48">
        <f>ROUNDDOWN(SUMIF(J118:J126, "1", B118:B126), 0)</f>
        <v>0</v>
      </c>
      <c r="C127" s="48">
        <f>ROUNDDOWN(SUMIF(J118:J126, "1", C118:C126), 0)</f>
        <v>0</v>
      </c>
      <c r="D127" s="48">
        <f>ROUNDDOWN(SUMIF(J118:J126, "1", D118:D126), 0)</f>
        <v>0</v>
      </c>
      <c r="E127" s="48">
        <f>B127+C127+D127</f>
        <v>0</v>
      </c>
      <c r="F127" s="45"/>
    </row>
    <row r="128" spans="1:15" ht="20.100000000000001" customHeight="1">
      <c r="A128" s="39"/>
      <c r="B128" s="47"/>
      <c r="C128" s="47"/>
      <c r="D128" s="47"/>
      <c r="E128" s="47"/>
      <c r="F128" s="41"/>
    </row>
    <row r="129" spans="1:15" ht="20.100000000000001" customHeight="1">
      <c r="A129" s="144" t="s">
        <v>269</v>
      </c>
      <c r="B129" s="146"/>
      <c r="C129" s="146"/>
      <c r="D129" s="146"/>
      <c r="E129" s="146"/>
      <c r="F129" s="52"/>
    </row>
    <row r="130" spans="1:15" ht="20.100000000000001" customHeight="1">
      <c r="A130" s="39" t="str">
        <f>"※ 1일 시공량 : " &amp;"Qd = " &amp; L130</f>
        <v>※ 1일 시공량 : Qd = 500</v>
      </c>
      <c r="B130" s="47">
        <v>0</v>
      </c>
      <c r="C130" s="47">
        <v>0</v>
      </c>
      <c r="D130" s="47">
        <v>0</v>
      </c>
      <c r="E130" s="47">
        <v>0</v>
      </c>
      <c r="F130" s="41"/>
      <c r="J130">
        <v>0</v>
      </c>
      <c r="K130" t="s">
        <v>267</v>
      </c>
      <c r="L130">
        <v>500</v>
      </c>
    </row>
    <row r="131" spans="1:15" ht="20.100000000000001" customHeight="1">
      <c r="A131" s="39" t="str">
        <f>"노무비 특별인부 인  " &amp; TEXT(TRUNC(N131,0), "#,##0") &amp; " * (1/500)"</f>
        <v>노무비 특별인부 인  224,490 * (1/500)</v>
      </c>
      <c r="B131" s="47"/>
      <c r="C131" s="47"/>
      <c r="D131" s="47"/>
      <c r="E131" s="47"/>
      <c r="F131" s="41"/>
      <c r="H131" s="1" t="s">
        <v>76</v>
      </c>
      <c r="I131" s="1" t="s">
        <v>59</v>
      </c>
      <c r="J131">
        <v>1</v>
      </c>
      <c r="L131">
        <f>1/L130</f>
        <v>2E-3</v>
      </c>
      <c r="M131">
        <v>0</v>
      </c>
      <c r="N131">
        <v>224490</v>
      </c>
      <c r="O131">
        <v>0</v>
      </c>
    </row>
    <row r="132" spans="1:15" ht="20.100000000000001" customHeight="1">
      <c r="A132" s="39" t="str">
        <f>"노무비 보통인부 인  " &amp; TEXT(TRUNC(N132,0), "#,##0") &amp; " * (1/500)"</f>
        <v>노무비 보통인부 인  171,037 * (1/500)</v>
      </c>
      <c r="B132" s="47"/>
      <c r="C132" s="47"/>
      <c r="D132" s="47"/>
      <c r="E132" s="47"/>
      <c r="F132" s="41"/>
      <c r="H132" s="1" t="s">
        <v>76</v>
      </c>
      <c r="I132" s="1" t="s">
        <v>59</v>
      </c>
      <c r="J132">
        <v>1</v>
      </c>
      <c r="L132">
        <f>1/L130</f>
        <v>2E-3</v>
      </c>
      <c r="M132">
        <v>0</v>
      </c>
      <c r="N132">
        <v>171037</v>
      </c>
      <c r="O132">
        <v>0</v>
      </c>
    </row>
    <row r="133" spans="1:15" ht="20.100000000000001" customHeight="1">
      <c r="A133" s="39" t="s">
        <v>270</v>
      </c>
      <c r="B133" s="47"/>
      <c r="C133" s="47"/>
      <c r="D133" s="47"/>
      <c r="E133" s="47"/>
      <c r="F133" s="51"/>
      <c r="J133">
        <v>0</v>
      </c>
      <c r="L133">
        <v>1</v>
      </c>
      <c r="M133">
        <v>9549</v>
      </c>
      <c r="N133">
        <v>35608</v>
      </c>
      <c r="O133">
        <v>1981</v>
      </c>
    </row>
    <row r="134" spans="1:15" ht="20.100000000000001" customHeight="1">
      <c r="A134" s="39" t="str">
        <f>"시간당 작업량 : " &amp;"Q = Qd/8 = " &amp; L134</f>
        <v>시간당 작업량 : Q = Qd/8 = 62.5</v>
      </c>
      <c r="B134" s="47"/>
      <c r="C134" s="47"/>
      <c r="D134" s="47"/>
      <c r="E134" s="47"/>
      <c r="F134" s="41"/>
      <c r="J134">
        <v>0</v>
      </c>
      <c r="K134" t="s">
        <v>241</v>
      </c>
      <c r="L134">
        <f>ROUND(L130/8, 3)</f>
        <v>62.5</v>
      </c>
    </row>
    <row r="135" spans="1:15" ht="20.100000000000001" customHeight="1">
      <c r="A135" s="39" t="str">
        <f>"재료비 : " &amp; TEXT(TRUNC(M135,0), "#,##0") &amp; " / 62.5"</f>
        <v>재료비 : 9,549 / 62.5</v>
      </c>
      <c r="B135" s="47"/>
      <c r="C135" s="47"/>
      <c r="D135" s="47"/>
      <c r="E135" s="47"/>
      <c r="F135" s="41"/>
      <c r="I135" s="1" t="s">
        <v>59</v>
      </c>
      <c r="J135">
        <v>1</v>
      </c>
      <c r="L135">
        <v>0</v>
      </c>
      <c r="M135">
        <f>M133</f>
        <v>9549</v>
      </c>
    </row>
    <row r="136" spans="1:15" ht="20.100000000000001" customHeight="1">
      <c r="A136" s="39" t="str">
        <f>"노무비 : " &amp; TEXT(TRUNC(N136,0), "#,##0") &amp; " / 62.5"</f>
        <v>노무비 : 35,608 / 62.5</v>
      </c>
      <c r="B136" s="47"/>
      <c r="C136" s="47"/>
      <c r="D136" s="47"/>
      <c r="E136" s="47"/>
      <c r="F136" s="41"/>
      <c r="I136" s="1" t="s">
        <v>59</v>
      </c>
      <c r="J136">
        <v>1</v>
      </c>
      <c r="L136">
        <v>0</v>
      </c>
      <c r="N136">
        <f>N133</f>
        <v>35608</v>
      </c>
    </row>
    <row r="137" spans="1:15" ht="20.100000000000001" customHeight="1">
      <c r="A137" s="39" t="str">
        <f>"경  비 : " &amp; TEXT(TRUNC(O137,0), "#,##0") &amp; " / 62.5"</f>
        <v>경  비 : 1,981 / 62.5</v>
      </c>
      <c r="B137" s="47"/>
      <c r="C137" s="47"/>
      <c r="D137" s="47"/>
      <c r="E137" s="47"/>
      <c r="F137" s="41"/>
      <c r="I137" s="1" t="s">
        <v>59</v>
      </c>
      <c r="J137">
        <v>1</v>
      </c>
      <c r="L137">
        <v>0</v>
      </c>
      <c r="O137">
        <f>O133</f>
        <v>1981</v>
      </c>
    </row>
    <row r="138" spans="1:15" ht="20.100000000000001" customHeight="1">
      <c r="A138" s="39" t="s">
        <v>271</v>
      </c>
      <c r="B138" s="47"/>
      <c r="C138" s="47"/>
      <c r="D138" s="47"/>
      <c r="E138" s="47"/>
      <c r="F138" s="51"/>
      <c r="J138">
        <v>0</v>
      </c>
      <c r="L138">
        <v>0.5</v>
      </c>
      <c r="M138">
        <v>2683</v>
      </c>
      <c r="N138">
        <v>0</v>
      </c>
      <c r="O138">
        <v>252</v>
      </c>
    </row>
    <row r="139" spans="1:15" ht="20.100000000000001" customHeight="1">
      <c r="A139" s="39" t="str">
        <f>"시간당 작업량 : " &amp;"Q = Qd/8 = " &amp; L139</f>
        <v>시간당 작업량 : Q = Qd/8 = 62.5</v>
      </c>
      <c r="B139" s="47"/>
      <c r="C139" s="47"/>
      <c r="D139" s="47"/>
      <c r="E139" s="47"/>
      <c r="F139" s="41"/>
      <c r="J139">
        <v>0</v>
      </c>
      <c r="K139" t="s">
        <v>241</v>
      </c>
      <c r="L139">
        <f>ROUND(L130/8, 3)</f>
        <v>62.5</v>
      </c>
    </row>
    <row r="140" spans="1:15" ht="20.100000000000001" customHeight="1">
      <c r="A140" s="39" t="str">
        <f>"재료비 : " &amp; TEXT(TRUNC(M140,0), "#,##0") &amp; " * 0.5/62.5"</f>
        <v>재료비 : 2,683 * 0.5/62.5</v>
      </c>
      <c r="B140" s="47"/>
      <c r="C140" s="47"/>
      <c r="D140" s="47"/>
      <c r="E140" s="47"/>
      <c r="F140" s="41"/>
      <c r="I140" s="1" t="s">
        <v>59</v>
      </c>
      <c r="J140">
        <v>1</v>
      </c>
      <c r="L140">
        <v>0</v>
      </c>
      <c r="M140">
        <f>M138</f>
        <v>2683</v>
      </c>
    </row>
    <row r="141" spans="1:15" ht="20.100000000000001" customHeight="1">
      <c r="A141" s="39" t="str">
        <f>"경  비 : " &amp; TEXT(TRUNC(O141,0), "#,##0") &amp; " * 0.5/62.5"</f>
        <v>경  비 : 252 * 0.5/62.5</v>
      </c>
      <c r="B141" s="47"/>
      <c r="C141" s="47"/>
      <c r="D141" s="47"/>
      <c r="E141" s="47"/>
      <c r="F141" s="41"/>
      <c r="I141" s="1" t="s">
        <v>59</v>
      </c>
      <c r="J141">
        <v>1</v>
      </c>
      <c r="L141">
        <v>0</v>
      </c>
      <c r="O141">
        <f>O138</f>
        <v>252</v>
      </c>
    </row>
    <row r="142" spans="1:15" ht="20.100000000000001" customHeight="1">
      <c r="A142" s="39" t="s">
        <v>63</v>
      </c>
      <c r="B142" s="47"/>
      <c r="C142" s="47"/>
      <c r="D142" s="47"/>
      <c r="E142" s="47"/>
      <c r="F142" s="41"/>
      <c r="J142">
        <v>0</v>
      </c>
      <c r="L142">
        <v>0</v>
      </c>
    </row>
    <row r="143" spans="1:15" ht="20.100000000000001" customHeight="1">
      <c r="A143" s="42" t="s">
        <v>31</v>
      </c>
      <c r="B143" s="48">
        <f>ROUNDDOWN(SUMIF(J130:J142, "1", B130:B142), 0)</f>
        <v>0</v>
      </c>
      <c r="C143" s="48">
        <f>ROUNDDOWN(SUMIF(J130:J142, "1", C130:C142), 0)</f>
        <v>0</v>
      </c>
      <c r="D143" s="48">
        <f>ROUNDDOWN(SUMIF(J130:J142, "1", D130:D142), 0)</f>
        <v>0</v>
      </c>
      <c r="E143" s="48">
        <f>B143+C143+D143</f>
        <v>0</v>
      </c>
      <c r="F143" s="45"/>
    </row>
    <row r="144" spans="1:15" ht="20.100000000000001" customHeight="1">
      <c r="A144" s="39"/>
      <c r="B144" s="47"/>
      <c r="C144" s="47"/>
      <c r="D144" s="47"/>
      <c r="E144" s="47"/>
      <c r="F144" s="41"/>
    </row>
    <row r="145" spans="1:15" ht="20.100000000000001" customHeight="1">
      <c r="A145" s="144" t="s">
        <v>272</v>
      </c>
      <c r="B145" s="146"/>
      <c r="C145" s="146"/>
      <c r="D145" s="146"/>
      <c r="E145" s="146"/>
      <c r="F145" s="52"/>
    </row>
    <row r="146" spans="1:15" ht="20.100000000000001" customHeight="1">
      <c r="A146" s="39" t="str">
        <f>"※ 1일 시공량 : " &amp;"Qd = 190*0.9 = " &amp; L146</f>
        <v>※ 1일 시공량 : Qd = 190*0.9 = 171</v>
      </c>
      <c r="B146" s="47">
        <v>0</v>
      </c>
      <c r="C146" s="47">
        <v>0</v>
      </c>
      <c r="D146" s="47">
        <v>0</v>
      </c>
      <c r="E146" s="47">
        <v>0</v>
      </c>
      <c r="F146" s="41"/>
      <c r="J146">
        <v>0</v>
      </c>
      <c r="K146" t="s">
        <v>267</v>
      </c>
      <c r="L146">
        <v>171</v>
      </c>
    </row>
    <row r="147" spans="1:15" ht="20.100000000000001" customHeight="1">
      <c r="A147" s="39" t="str">
        <f>"노무비 포장공 인  " &amp; TEXT(TRUNC(N147,0), "#,##0") &amp; " * (2/171)"</f>
        <v>노무비 포장공 인  267,989 * (2/171)</v>
      </c>
      <c r="B147" s="47">
        <v>0</v>
      </c>
      <c r="C147" s="47"/>
      <c r="D147" s="47"/>
      <c r="E147" s="47"/>
      <c r="F147" s="41"/>
      <c r="H147" s="1" t="s">
        <v>76</v>
      </c>
      <c r="I147" s="1" t="s">
        <v>59</v>
      </c>
      <c r="J147">
        <v>1</v>
      </c>
      <c r="L147">
        <f>ROUND(2/L146, 4)</f>
        <v>1.17E-2</v>
      </c>
      <c r="M147">
        <v>0</v>
      </c>
      <c r="N147">
        <v>267989</v>
      </c>
      <c r="O147">
        <v>0</v>
      </c>
    </row>
    <row r="148" spans="1:15" ht="20.100000000000001" customHeight="1">
      <c r="A148" s="39" t="str">
        <f>"노무비 특별인부 인  " &amp; TEXT(TRUNC(N148,0), "#,##0") &amp; " * (2/171)"</f>
        <v>노무비 특별인부 인  221,506 * (2/171)</v>
      </c>
      <c r="B148" s="47">
        <v>0</v>
      </c>
      <c r="C148" s="47"/>
      <c r="D148" s="47"/>
      <c r="E148" s="47"/>
      <c r="F148" s="41"/>
      <c r="H148" s="1" t="s">
        <v>76</v>
      </c>
      <c r="I148" s="1" t="s">
        <v>59</v>
      </c>
      <c r="J148">
        <v>1</v>
      </c>
      <c r="L148">
        <f>ROUND(2/L146, 4)</f>
        <v>1.17E-2</v>
      </c>
      <c r="M148">
        <v>0</v>
      </c>
      <c r="N148">
        <v>221506</v>
      </c>
      <c r="O148">
        <v>0</v>
      </c>
    </row>
    <row r="149" spans="1:15" ht="20.100000000000001" customHeight="1">
      <c r="A149" s="39" t="str">
        <f>"노무비 보통인부 인  " &amp; TEXT(TRUNC(N149,0), "#,##0") &amp; " * (1/171)"</f>
        <v>노무비 보통인부 인  169,804 * (1/171)</v>
      </c>
      <c r="B149" s="47">
        <v>0</v>
      </c>
      <c r="C149" s="47"/>
      <c r="D149" s="47"/>
      <c r="E149" s="47"/>
      <c r="F149" s="41"/>
      <c r="H149" s="1" t="s">
        <v>76</v>
      </c>
      <c r="I149" s="1" t="s">
        <v>59</v>
      </c>
      <c r="J149">
        <v>1</v>
      </c>
      <c r="L149">
        <f>ROUND(1/L146, 4)</f>
        <v>5.7999999999999996E-3</v>
      </c>
      <c r="M149">
        <v>0</v>
      </c>
      <c r="N149">
        <v>169804</v>
      </c>
      <c r="O149">
        <v>0</v>
      </c>
    </row>
    <row r="150" spans="1:15" ht="20.100000000000001" customHeight="1">
      <c r="A150" s="39" t="s">
        <v>273</v>
      </c>
      <c r="B150" s="47">
        <v>0</v>
      </c>
      <c r="C150" s="47"/>
      <c r="D150" s="47"/>
      <c r="E150" s="47"/>
      <c r="F150" s="41"/>
      <c r="G150">
        <v>0.05</v>
      </c>
      <c r="I150" s="1" t="s">
        <v>59</v>
      </c>
      <c r="J150">
        <v>1</v>
      </c>
      <c r="L150">
        <v>5</v>
      </c>
      <c r="M150">
        <v>0</v>
      </c>
      <c r="N150">
        <v>0</v>
      </c>
      <c r="O150">
        <v>0</v>
      </c>
    </row>
    <row r="151" spans="1:15" ht="20.100000000000001" customHeight="1">
      <c r="A151" s="39" t="s">
        <v>274</v>
      </c>
      <c r="B151" s="47"/>
      <c r="C151" s="47"/>
      <c r="D151" s="47"/>
      <c r="E151" s="47"/>
      <c r="F151" s="51"/>
      <c r="J151">
        <v>0</v>
      </c>
      <c r="L151">
        <v>1</v>
      </c>
      <c r="M151">
        <v>19204</v>
      </c>
      <c r="N151">
        <v>57077</v>
      </c>
      <c r="O151">
        <v>17227</v>
      </c>
    </row>
    <row r="152" spans="1:15" ht="20.100000000000001" customHeight="1">
      <c r="A152" s="39" t="str">
        <f>"시간당 작업량 : " &amp;"Q = Qd/8 = " &amp; L152</f>
        <v>시간당 작업량 : Q = Qd/8 = 21.375</v>
      </c>
      <c r="B152" s="47">
        <v>0</v>
      </c>
      <c r="C152" s="47"/>
      <c r="D152" s="47"/>
      <c r="E152" s="47"/>
      <c r="F152" s="41"/>
      <c r="J152">
        <v>0</v>
      </c>
      <c r="K152" t="s">
        <v>241</v>
      </c>
      <c r="L152">
        <f>ROUND(L146/8, 3)</f>
        <v>21.375</v>
      </c>
    </row>
    <row r="153" spans="1:15" ht="20.100000000000001" customHeight="1">
      <c r="A153" s="39" t="str">
        <f>"재료비 : " &amp; TEXT(TRUNC(M153,0), "#,##0") &amp; " / 21.375"</f>
        <v>재료비 : 19,204 / 21.375</v>
      </c>
      <c r="B153" s="47"/>
      <c r="C153" s="47"/>
      <c r="D153" s="47"/>
      <c r="E153" s="47"/>
      <c r="F153" s="41"/>
      <c r="I153" s="1" t="s">
        <v>59</v>
      </c>
      <c r="J153">
        <v>1</v>
      </c>
      <c r="L153">
        <v>0</v>
      </c>
      <c r="M153">
        <f>M151</f>
        <v>19204</v>
      </c>
    </row>
    <row r="154" spans="1:15" ht="20.100000000000001" customHeight="1">
      <c r="A154" s="39" t="str">
        <f>"노무비 : " &amp; TEXT(TRUNC(N154,0), "#,##0") &amp; " / 21.375"</f>
        <v>노무비 : 57,077 / 21.375</v>
      </c>
      <c r="B154" s="47"/>
      <c r="C154" s="47"/>
      <c r="D154" s="47"/>
      <c r="E154" s="47"/>
      <c r="F154" s="41"/>
      <c r="I154" s="1" t="s">
        <v>59</v>
      </c>
      <c r="J154">
        <v>1</v>
      </c>
      <c r="L154">
        <v>0</v>
      </c>
      <c r="N154">
        <f>N151</f>
        <v>57077</v>
      </c>
    </row>
    <row r="155" spans="1:15" ht="20.100000000000001" customHeight="1">
      <c r="A155" s="39" t="str">
        <f>"경  비 : " &amp; TEXT(TRUNC(O155,0), "#,##0") &amp; " / 21.375"</f>
        <v>경  비 : 17,227 / 21.375</v>
      </c>
      <c r="B155" s="47"/>
      <c r="C155" s="47"/>
      <c r="D155" s="47"/>
      <c r="E155" s="47"/>
      <c r="F155" s="41"/>
      <c r="I155" s="1" t="s">
        <v>59</v>
      </c>
      <c r="J155">
        <v>1</v>
      </c>
      <c r="L155">
        <v>0</v>
      </c>
      <c r="O155">
        <f>O151</f>
        <v>17227</v>
      </c>
    </row>
    <row r="156" spans="1:15" ht="20.100000000000001" customHeight="1">
      <c r="A156" s="39" t="s">
        <v>275</v>
      </c>
      <c r="B156" s="47"/>
      <c r="C156" s="47"/>
      <c r="D156" s="47"/>
      <c r="E156" s="47"/>
      <c r="F156" s="51"/>
      <c r="J156">
        <v>0</v>
      </c>
      <c r="L156">
        <v>1</v>
      </c>
      <c r="M156">
        <v>1761</v>
      </c>
      <c r="N156">
        <v>35608</v>
      </c>
      <c r="O156">
        <v>599</v>
      </c>
    </row>
    <row r="157" spans="1:15" ht="20.100000000000001" customHeight="1">
      <c r="A157" s="39" t="str">
        <f>"시간당 작업량 : " &amp;"Q = Qd/8 = " &amp; L157</f>
        <v>시간당 작업량 : Q = Qd/8 = 21.375</v>
      </c>
      <c r="B157" s="47"/>
      <c r="C157" s="47"/>
      <c r="D157" s="47"/>
      <c r="E157" s="47"/>
      <c r="F157" s="41"/>
      <c r="J157">
        <v>0</v>
      </c>
      <c r="K157" t="s">
        <v>241</v>
      </c>
      <c r="L157">
        <f>ROUND(L146/8, 3)</f>
        <v>21.375</v>
      </c>
    </row>
    <row r="158" spans="1:15" ht="20.100000000000001" customHeight="1">
      <c r="A158" s="39" t="str">
        <f>"재료비 : " &amp; TEXT(TRUNC(M158,0), "#,##0") &amp; " / 21.375"</f>
        <v>재료비 : 1,761 / 21.375</v>
      </c>
      <c r="B158" s="47"/>
      <c r="C158" s="47"/>
      <c r="D158" s="47"/>
      <c r="E158" s="47"/>
      <c r="F158" s="41"/>
      <c r="I158" s="1" t="s">
        <v>59</v>
      </c>
      <c r="J158">
        <v>1</v>
      </c>
      <c r="L158">
        <v>0</v>
      </c>
      <c r="M158">
        <f>M156</f>
        <v>1761</v>
      </c>
    </row>
    <row r="159" spans="1:15" ht="20.100000000000001" customHeight="1">
      <c r="A159" s="39" t="str">
        <f>"노무비 : " &amp; TEXT(TRUNC(N159,0), "#,##0") &amp; " / 21.375"</f>
        <v>노무비 : 35,608 / 21.375</v>
      </c>
      <c r="B159" s="47"/>
      <c r="C159" s="47"/>
      <c r="D159" s="47"/>
      <c r="E159" s="47"/>
      <c r="F159" s="41"/>
      <c r="I159" s="1" t="s">
        <v>59</v>
      </c>
      <c r="J159">
        <v>1</v>
      </c>
      <c r="L159">
        <v>0</v>
      </c>
      <c r="N159">
        <f>N156</f>
        <v>35608</v>
      </c>
    </row>
    <row r="160" spans="1:15" ht="20.100000000000001" customHeight="1">
      <c r="A160" s="39" t="str">
        <f>"경  비 : " &amp; TEXT(TRUNC(O160,0), "#,##0") &amp; " / 21.375"</f>
        <v>경  비 : 599 / 21.375</v>
      </c>
      <c r="B160" s="47"/>
      <c r="C160" s="47"/>
      <c r="D160" s="47"/>
      <c r="E160" s="47"/>
      <c r="F160" s="41"/>
      <c r="I160" s="1" t="s">
        <v>59</v>
      </c>
      <c r="J160">
        <v>1</v>
      </c>
      <c r="L160">
        <v>0</v>
      </c>
      <c r="O160">
        <f>O156</f>
        <v>599</v>
      </c>
    </row>
    <row r="161" spans="1:15" ht="20.100000000000001" customHeight="1">
      <c r="A161" s="39" t="s">
        <v>63</v>
      </c>
      <c r="B161" s="47">
        <f>SUMIF(J146:J160, "1", B146:B160)</f>
        <v>0</v>
      </c>
      <c r="C161" s="47">
        <f>SUMIF(J146:J160, "1", C146:C160)</f>
        <v>0</v>
      </c>
      <c r="D161" s="47">
        <f>SUMIF(J146:J160, "1", D146:D160)</f>
        <v>0</v>
      </c>
      <c r="E161" s="47">
        <f>B161+C161+D161</f>
        <v>0</v>
      </c>
      <c r="F161" s="41"/>
      <c r="J161">
        <v>0</v>
      </c>
      <c r="L161">
        <v>0</v>
      </c>
    </row>
    <row r="162" spans="1:15" ht="20.100000000000001" customHeight="1">
      <c r="A162" s="42" t="s">
        <v>31</v>
      </c>
      <c r="B162" s="48">
        <f>ROUNDDOWN(SUMIF(J146:J161, "1", B146:B161), 0)</f>
        <v>0</v>
      </c>
      <c r="C162" s="48">
        <f>ROUNDDOWN(SUMIF(J146:J161, "1", C146:C161), 0)</f>
        <v>0</v>
      </c>
      <c r="D162" s="48">
        <f>ROUNDDOWN(SUMIF(J146:J161, "1", D146:D161), 0)</f>
        <v>0</v>
      </c>
      <c r="E162" s="48">
        <f>B162+C162+D162</f>
        <v>0</v>
      </c>
      <c r="F162" s="45"/>
    </row>
    <row r="163" spans="1:15" ht="20.100000000000001" customHeight="1">
      <c r="A163" s="39"/>
      <c r="B163" s="47"/>
      <c r="C163" s="47"/>
      <c r="D163" s="47"/>
      <c r="E163" s="47"/>
      <c r="F163" s="41"/>
    </row>
    <row r="164" spans="1:15" ht="20.100000000000001" customHeight="1">
      <c r="A164" s="144" t="s">
        <v>276</v>
      </c>
      <c r="B164" s="146"/>
      <c r="C164" s="146"/>
      <c r="D164" s="146"/>
      <c r="E164" s="146"/>
      <c r="F164" s="52"/>
    </row>
    <row r="165" spans="1:15" ht="20.100000000000001" customHeight="1">
      <c r="A165" s="39" t="str">
        <f>"※ 일당 시공량 : " &amp;"Qd = " &amp; L165</f>
        <v>※ 일당 시공량 : Qd = 600</v>
      </c>
      <c r="B165" s="47">
        <v>0</v>
      </c>
      <c r="C165" s="47">
        <v>0</v>
      </c>
      <c r="D165" s="47">
        <v>0</v>
      </c>
      <c r="E165" s="47">
        <v>0</v>
      </c>
      <c r="F165" s="41"/>
      <c r="J165">
        <v>0</v>
      </c>
      <c r="K165" t="s">
        <v>267</v>
      </c>
      <c r="L165">
        <v>600</v>
      </c>
    </row>
    <row r="166" spans="1:15" ht="20.100000000000001" customHeight="1">
      <c r="A166" s="39" t="str">
        <f>"시간당 작업량 : " &amp;"Q = Qd/8 = " &amp; L166</f>
        <v>시간당 작업량 : Q = Qd/8 = 75</v>
      </c>
      <c r="B166" s="47">
        <v>0</v>
      </c>
      <c r="C166" s="47">
        <v>0</v>
      </c>
      <c r="D166" s="47">
        <v>0</v>
      </c>
      <c r="E166" s="47">
        <v>0</v>
      </c>
      <c r="F166" s="41"/>
      <c r="J166">
        <v>0</v>
      </c>
      <c r="K166" t="s">
        <v>241</v>
      </c>
      <c r="L166">
        <f>ROUND(L165/8, 3)</f>
        <v>75</v>
      </c>
    </row>
    <row r="167" spans="1:15" ht="20.100000000000001" customHeight="1">
      <c r="A167" s="39" t="s">
        <v>277</v>
      </c>
      <c r="B167" s="47">
        <v>0</v>
      </c>
      <c r="C167" s="47">
        <v>0</v>
      </c>
      <c r="D167" s="47">
        <v>0</v>
      </c>
      <c r="E167" s="47">
        <v>0</v>
      </c>
      <c r="F167" s="41"/>
      <c r="J167">
        <v>0</v>
      </c>
      <c r="L167">
        <v>0</v>
      </c>
    </row>
    <row r="168" spans="1:15" ht="20.100000000000001" customHeight="1">
      <c r="A168" s="39" t="s">
        <v>278</v>
      </c>
      <c r="B168" s="47">
        <v>0</v>
      </c>
      <c r="C168" s="47">
        <v>0</v>
      </c>
      <c r="D168" s="47">
        <v>0</v>
      </c>
      <c r="E168" s="47">
        <v>0</v>
      </c>
      <c r="F168" s="41"/>
      <c r="J168">
        <v>0</v>
      </c>
      <c r="L168">
        <v>0</v>
      </c>
    </row>
    <row r="169" spans="1:15" ht="20.100000000000001" customHeight="1">
      <c r="A169" s="39" t="str">
        <f>"노무비 특별인부 인  " &amp; TEXT(TRUNC(N169,0), "#,##0") &amp; " * (1/600)"</f>
        <v>노무비 특별인부 인  221,506 * (1/600)</v>
      </c>
      <c r="B169" s="47">
        <v>0</v>
      </c>
      <c r="C169" s="47"/>
      <c r="D169" s="47"/>
      <c r="E169" s="47"/>
      <c r="F169" s="41"/>
      <c r="H169" s="1" t="s">
        <v>76</v>
      </c>
      <c r="I169" s="1" t="s">
        <v>59</v>
      </c>
      <c r="J169">
        <v>1</v>
      </c>
      <c r="L169">
        <f>1/L165</f>
        <v>1.6666666666666668E-3</v>
      </c>
      <c r="M169">
        <v>0</v>
      </c>
      <c r="N169">
        <v>221506</v>
      </c>
      <c r="O169">
        <v>0</v>
      </c>
    </row>
    <row r="170" spans="1:15" ht="20.100000000000001" customHeight="1">
      <c r="A170" s="39" t="str">
        <f>"노무비 보통인부 인  " &amp; TEXT(TRUNC(N170,0), "#,##0") &amp; " * (1/600)"</f>
        <v>노무비 보통인부 인  169,804 * (1/600)</v>
      </c>
      <c r="B170" s="47">
        <v>0</v>
      </c>
      <c r="C170" s="47"/>
      <c r="D170" s="47"/>
      <c r="E170" s="47"/>
      <c r="F170" s="41"/>
      <c r="H170" s="1" t="s">
        <v>76</v>
      </c>
      <c r="I170" s="1" t="s">
        <v>59</v>
      </c>
      <c r="J170">
        <v>1</v>
      </c>
      <c r="L170">
        <f>1/L165</f>
        <v>1.6666666666666668E-3</v>
      </c>
      <c r="M170">
        <v>0</v>
      </c>
      <c r="N170">
        <v>169804</v>
      </c>
      <c r="O170">
        <v>0</v>
      </c>
    </row>
    <row r="171" spans="1:15" ht="20.100000000000001" customHeight="1">
      <c r="A171" s="39" t="s">
        <v>279</v>
      </c>
      <c r="B171" s="47">
        <v>0</v>
      </c>
      <c r="C171" s="47"/>
      <c r="D171" s="47"/>
      <c r="E171" s="47"/>
      <c r="F171" s="41"/>
      <c r="J171">
        <v>0</v>
      </c>
      <c r="L171">
        <v>0</v>
      </c>
    </row>
    <row r="172" spans="1:15" ht="20.100000000000001" customHeight="1">
      <c r="A172" s="39" t="s">
        <v>270</v>
      </c>
      <c r="B172" s="47"/>
      <c r="C172" s="47"/>
      <c r="D172" s="47"/>
      <c r="E172" s="47"/>
      <c r="F172" s="51"/>
      <c r="J172">
        <v>0</v>
      </c>
      <c r="L172">
        <v>1</v>
      </c>
      <c r="M172">
        <v>9549</v>
      </c>
      <c r="N172">
        <v>35608</v>
      </c>
      <c r="O172">
        <v>1981</v>
      </c>
    </row>
    <row r="173" spans="1:15" ht="20.100000000000001" customHeight="1">
      <c r="A173" s="39" t="str">
        <f>"Q = Qd/8 = " &amp; L173</f>
        <v>Q = Qd/8 = 75</v>
      </c>
      <c r="B173" s="47">
        <v>0</v>
      </c>
      <c r="C173" s="47"/>
      <c r="D173" s="47"/>
      <c r="E173" s="47"/>
      <c r="F173" s="41"/>
      <c r="J173">
        <v>0</v>
      </c>
      <c r="K173" t="s">
        <v>241</v>
      </c>
      <c r="L173">
        <f>ROUND(L165/8, 3)</f>
        <v>75</v>
      </c>
    </row>
    <row r="174" spans="1:15" ht="20.100000000000001" customHeight="1">
      <c r="A174" s="39" t="str">
        <f>"재료비 : " &amp; TEXT(TRUNC(M174,0), "#,##0") &amp; " / 75"</f>
        <v>재료비 : 9,549 / 75</v>
      </c>
      <c r="B174" s="47"/>
      <c r="C174" s="47"/>
      <c r="D174" s="47"/>
      <c r="E174" s="47"/>
      <c r="F174" s="41"/>
      <c r="I174" s="1" t="s">
        <v>59</v>
      </c>
      <c r="J174">
        <v>1</v>
      </c>
      <c r="L174">
        <v>0</v>
      </c>
      <c r="M174">
        <f>M172</f>
        <v>9549</v>
      </c>
    </row>
    <row r="175" spans="1:15" ht="20.100000000000001" customHeight="1">
      <c r="A175" s="39" t="str">
        <f>"노무비 : " &amp; TEXT(TRUNC(N175,0), "#,##0") &amp; " / 75"</f>
        <v>노무비 : 35,608 / 75</v>
      </c>
      <c r="B175" s="47">
        <v>0</v>
      </c>
      <c r="C175" s="47"/>
      <c r="D175" s="47"/>
      <c r="E175" s="47"/>
      <c r="F175" s="41"/>
      <c r="I175" s="1" t="s">
        <v>59</v>
      </c>
      <c r="J175">
        <v>1</v>
      </c>
      <c r="L175">
        <v>0</v>
      </c>
      <c r="N175">
        <f>N172</f>
        <v>35608</v>
      </c>
    </row>
    <row r="176" spans="1:15" ht="20.100000000000001" customHeight="1">
      <c r="A176" s="39" t="str">
        <f>"경  비 : " &amp; TEXT(TRUNC(O176,0), "#,##0") &amp; " / 75"</f>
        <v>경  비 : 1,981 / 75</v>
      </c>
      <c r="B176" s="47">
        <v>0</v>
      </c>
      <c r="C176" s="47"/>
      <c r="D176" s="47"/>
      <c r="E176" s="47"/>
      <c r="F176" s="41"/>
      <c r="I176" s="1" t="s">
        <v>59</v>
      </c>
      <c r="J176">
        <v>1</v>
      </c>
      <c r="L176">
        <v>0</v>
      </c>
      <c r="O176">
        <f>O172</f>
        <v>1981</v>
      </c>
    </row>
    <row r="177" spans="1:15" ht="20.100000000000001" customHeight="1">
      <c r="A177" s="39" t="s">
        <v>280</v>
      </c>
      <c r="B177" s="47">
        <v>0</v>
      </c>
      <c r="C177" s="47"/>
      <c r="D177" s="47"/>
      <c r="E177" s="47"/>
      <c r="F177" s="41"/>
      <c r="J177">
        <v>0</v>
      </c>
      <c r="L177">
        <v>0</v>
      </c>
    </row>
    <row r="178" spans="1:15" ht="20.100000000000001" customHeight="1">
      <c r="A178" s="39" t="s">
        <v>281</v>
      </c>
      <c r="B178" s="47"/>
      <c r="C178" s="47"/>
      <c r="D178" s="47"/>
      <c r="E178" s="47"/>
      <c r="F178" s="51"/>
      <c r="J178">
        <v>0</v>
      </c>
      <c r="L178">
        <v>0.5</v>
      </c>
      <c r="M178">
        <v>0</v>
      </c>
      <c r="N178">
        <v>0</v>
      </c>
      <c r="O178">
        <v>0</v>
      </c>
    </row>
    <row r="179" spans="1:15" ht="20.100000000000001" customHeight="1">
      <c r="A179" s="39" t="str">
        <f>"Q = Qd/8 = " &amp; L179</f>
        <v>Q = Qd/8 = 75</v>
      </c>
      <c r="B179" s="47">
        <v>0</v>
      </c>
      <c r="C179" s="47"/>
      <c r="D179" s="47"/>
      <c r="E179" s="47"/>
      <c r="F179" s="41"/>
      <c r="J179">
        <v>0</v>
      </c>
      <c r="K179" t="s">
        <v>241</v>
      </c>
      <c r="L179">
        <f>ROUND(L165/8, 3)</f>
        <v>75</v>
      </c>
    </row>
    <row r="180" spans="1:15" ht="20.100000000000001" customHeight="1">
      <c r="A180" s="39" t="str">
        <f>"재료비 : " &amp; TEXT(TRUNC(M180,0), "#,##0") &amp; " / 75"</f>
        <v>재료비 : 0 / 75</v>
      </c>
      <c r="B180" s="47">
        <v>0</v>
      </c>
      <c r="C180" s="47"/>
      <c r="D180" s="47"/>
      <c r="E180" s="47"/>
      <c r="F180" s="41"/>
      <c r="I180" s="1" t="s">
        <v>59</v>
      </c>
      <c r="J180">
        <v>1</v>
      </c>
      <c r="L180">
        <v>0</v>
      </c>
    </row>
    <row r="181" spans="1:15" ht="20.100000000000001" customHeight="1">
      <c r="A181" s="39" t="str">
        <f>"경  비 : " &amp; TEXT(TRUNC(O181,0), "#,##0") &amp; " / 75"</f>
        <v>경  비 : 0 / 75</v>
      </c>
      <c r="B181" s="47">
        <v>0</v>
      </c>
      <c r="C181" s="47">
        <v>0</v>
      </c>
      <c r="D181" s="47">
        <v>0</v>
      </c>
      <c r="E181" s="47">
        <v>0</v>
      </c>
      <c r="F181" s="41"/>
      <c r="I181" s="1" t="s">
        <v>59</v>
      </c>
      <c r="J181">
        <v>1</v>
      </c>
      <c r="L181">
        <v>0</v>
      </c>
    </row>
    <row r="182" spans="1:15" ht="20.100000000000001" customHeight="1">
      <c r="A182" s="39" t="s">
        <v>63</v>
      </c>
      <c r="B182" s="47"/>
      <c r="C182" s="47">
        <f>SUMIF(J165:J181, "1", C165:C181)</f>
        <v>0</v>
      </c>
      <c r="D182" s="47">
        <f>SUMIF(J165:J181, "1", D165:D181)</f>
        <v>0</v>
      </c>
      <c r="E182" s="47">
        <f>B182+C182+D182</f>
        <v>0</v>
      </c>
      <c r="F182" s="41"/>
      <c r="J182">
        <v>0</v>
      </c>
      <c r="L182">
        <v>0</v>
      </c>
    </row>
    <row r="183" spans="1:15" ht="20.100000000000001" customHeight="1">
      <c r="A183" s="42" t="s">
        <v>31</v>
      </c>
      <c r="B183" s="48">
        <f>ROUNDDOWN(SUMIF(J165:J182, "1", B165:B182), 0)</f>
        <v>0</v>
      </c>
      <c r="C183" s="48">
        <f>ROUNDDOWN(SUMIF(J165:J182, "1", C165:C182), 0)</f>
        <v>0</v>
      </c>
      <c r="D183" s="48">
        <f>ROUNDDOWN(SUMIF(J165:J182, "1", D165:D182), 0)</f>
        <v>0</v>
      </c>
      <c r="E183" s="48">
        <f>B183+C183+D183</f>
        <v>0</v>
      </c>
      <c r="F183" s="45"/>
    </row>
    <row r="184" spans="1:15" ht="20.100000000000001" customHeight="1">
      <c r="A184" s="39"/>
      <c r="B184" s="47"/>
      <c r="C184" s="47"/>
      <c r="D184" s="47"/>
      <c r="E184" s="47"/>
      <c r="F184" s="41"/>
    </row>
    <row r="185" spans="1:15" ht="20.100000000000001" customHeight="1">
      <c r="A185" s="144" t="s">
        <v>282</v>
      </c>
      <c r="B185" s="146"/>
      <c r="C185" s="146"/>
      <c r="D185" s="146"/>
      <c r="E185" s="146"/>
      <c r="F185" s="50"/>
    </row>
    <row r="186" spans="1:15" ht="20.100000000000001" customHeight="1">
      <c r="A186" s="39" t="s">
        <v>283</v>
      </c>
      <c r="B186" s="47">
        <v>0</v>
      </c>
      <c r="C186" s="47">
        <v>0</v>
      </c>
      <c r="D186" s="47">
        <v>0</v>
      </c>
      <c r="E186" s="47">
        <v>0</v>
      </c>
      <c r="F186" s="41"/>
      <c r="J186">
        <v>0</v>
      </c>
      <c r="L186">
        <v>0</v>
      </c>
    </row>
    <row r="187" spans="1:15" ht="20.100000000000001" customHeight="1">
      <c r="A187" s="39" t="s">
        <v>284</v>
      </c>
      <c r="B187" s="47">
        <v>0</v>
      </c>
      <c r="C187" s="47">
        <v>0</v>
      </c>
      <c r="D187" s="47">
        <v>0</v>
      </c>
      <c r="E187" s="47">
        <v>0</v>
      </c>
      <c r="F187" s="41"/>
      <c r="J187">
        <v>0</v>
      </c>
      <c r="L187">
        <v>0</v>
      </c>
    </row>
    <row r="188" spans="1:15" ht="20.100000000000001" customHeight="1">
      <c r="A188" s="39"/>
      <c r="B188" s="47">
        <v>0</v>
      </c>
      <c r="C188" s="47">
        <v>0</v>
      </c>
      <c r="D188" s="47">
        <v>0</v>
      </c>
      <c r="E188" s="47">
        <v>0</v>
      </c>
      <c r="F188" s="41"/>
      <c r="J188">
        <v>0</v>
      </c>
      <c r="L188">
        <v>0</v>
      </c>
    </row>
    <row r="189" spans="1:15" ht="20.100000000000001" customHeight="1">
      <c r="A189" s="39" t="s">
        <v>285</v>
      </c>
      <c r="B189" s="47">
        <v>0</v>
      </c>
      <c r="C189" s="47">
        <v>0</v>
      </c>
      <c r="D189" s="47">
        <v>0</v>
      </c>
      <c r="E189" s="47">
        <v>0</v>
      </c>
      <c r="F189" s="41"/>
      <c r="J189">
        <v>0</v>
      </c>
      <c r="L189">
        <v>0</v>
      </c>
    </row>
    <row r="190" spans="1:15" ht="20.100000000000001" customHeight="1">
      <c r="A190" s="39" t="s">
        <v>286</v>
      </c>
      <c r="B190" s="47"/>
      <c r="C190" s="47"/>
      <c r="D190" s="47"/>
      <c r="E190" s="47"/>
      <c r="F190" s="41"/>
      <c r="J190">
        <v>0</v>
      </c>
      <c r="L190">
        <v>0</v>
      </c>
    </row>
    <row r="191" spans="1:15" ht="20.100000000000001" customHeight="1">
      <c r="A191" s="39" t="s">
        <v>254</v>
      </c>
      <c r="B191" s="47"/>
      <c r="C191" s="47"/>
      <c r="D191" s="47"/>
      <c r="E191" s="47"/>
      <c r="F191" s="51"/>
      <c r="J191">
        <v>0</v>
      </c>
      <c r="L191">
        <v>1</v>
      </c>
      <c r="M191">
        <v>21395</v>
      </c>
      <c r="N191">
        <v>57077</v>
      </c>
      <c r="O191">
        <v>35102</v>
      </c>
    </row>
    <row r="192" spans="1:15" ht="20.100000000000001" customHeight="1">
      <c r="A192" s="39" t="str">
        <f>"Q = (3.3+5.9)/2 = " &amp; L192</f>
        <v>Q = (3.3+5.9)/2 = 4.6</v>
      </c>
      <c r="B192" s="47"/>
      <c r="C192" s="47"/>
      <c r="D192" s="47"/>
      <c r="E192" s="47"/>
      <c r="F192" s="41"/>
      <c r="J192">
        <v>0</v>
      </c>
      <c r="K192" t="s">
        <v>241</v>
      </c>
      <c r="L192">
        <v>4.5999999999999996</v>
      </c>
    </row>
    <row r="193" spans="1:15" ht="20.100000000000001" customHeight="1">
      <c r="A193" s="39" t="str">
        <f>"재료비 : " &amp; TEXT(TRUNC(M193,0), "#,##0") &amp; " / 4.6"</f>
        <v>재료비 : 21,395 / 4.6</v>
      </c>
      <c r="B193" s="47"/>
      <c r="C193" s="47"/>
      <c r="D193" s="47"/>
      <c r="E193" s="47"/>
      <c r="F193" s="41"/>
      <c r="I193" s="1" t="s">
        <v>59</v>
      </c>
      <c r="J193">
        <v>1</v>
      </c>
      <c r="L193">
        <v>0</v>
      </c>
      <c r="M193">
        <f>M191</f>
        <v>21395</v>
      </c>
    </row>
    <row r="194" spans="1:15" ht="20.100000000000001" customHeight="1">
      <c r="A194" s="39" t="str">
        <f>"노무비 : " &amp; TEXT(TRUNC(N194,0), "#,##0") &amp; " / 4.6"</f>
        <v>노무비 : 57,077 / 4.6</v>
      </c>
      <c r="B194" s="47"/>
      <c r="C194" s="47"/>
      <c r="D194" s="47"/>
      <c r="E194" s="47"/>
      <c r="F194" s="41"/>
      <c r="I194" s="1" t="s">
        <v>59</v>
      </c>
      <c r="J194">
        <v>1</v>
      </c>
      <c r="L194">
        <v>0</v>
      </c>
      <c r="N194">
        <f>N191</f>
        <v>57077</v>
      </c>
    </row>
    <row r="195" spans="1:15" ht="20.100000000000001" customHeight="1">
      <c r="A195" s="39" t="str">
        <f>"경  비 : " &amp; TEXT(TRUNC(O195,0), "#,##0") &amp; " / 4.6"</f>
        <v>경  비 : 35,102 / 4.6</v>
      </c>
      <c r="B195" s="47"/>
      <c r="C195" s="47"/>
      <c r="D195" s="47"/>
      <c r="E195" s="47"/>
      <c r="F195" s="41"/>
      <c r="I195" s="1" t="s">
        <v>59</v>
      </c>
      <c r="J195">
        <v>1</v>
      </c>
      <c r="L195">
        <v>0</v>
      </c>
      <c r="O195">
        <f>O191</f>
        <v>35102</v>
      </c>
    </row>
    <row r="196" spans="1:15" ht="20.100000000000001" customHeight="1">
      <c r="A196" s="39" t="s">
        <v>287</v>
      </c>
      <c r="B196" s="47"/>
      <c r="C196" s="47"/>
      <c r="D196" s="47"/>
      <c r="E196" s="47"/>
      <c r="F196" s="41"/>
      <c r="J196">
        <v>0</v>
      </c>
      <c r="L196">
        <v>0</v>
      </c>
    </row>
    <row r="197" spans="1:15" ht="20.100000000000001" customHeight="1">
      <c r="A197" s="39" t="str">
        <f>"노무비 보통인부 인  " &amp; TEXT(TRUNC(N197,0), "#,##0") &amp; " * (1/8/4.6)"</f>
        <v>노무비 보통인부 인  169,804 * (1/8/4.6)</v>
      </c>
      <c r="B197" s="47"/>
      <c r="C197" s="47"/>
      <c r="D197" s="47"/>
      <c r="E197" s="47"/>
      <c r="F197" s="41"/>
      <c r="H197" s="1" t="s">
        <v>76</v>
      </c>
      <c r="I197" s="1" t="s">
        <v>59</v>
      </c>
      <c r="J197">
        <v>1</v>
      </c>
      <c r="L197">
        <f>1/8/L192</f>
        <v>2.7173913043478264E-2</v>
      </c>
      <c r="M197">
        <v>0</v>
      </c>
      <c r="N197">
        <v>169804</v>
      </c>
      <c r="O197">
        <v>0</v>
      </c>
    </row>
    <row r="198" spans="1:15" ht="20.100000000000001" customHeight="1">
      <c r="A198" s="39" t="s">
        <v>288</v>
      </c>
      <c r="B198" s="47"/>
      <c r="C198" s="47"/>
      <c r="D198" s="47"/>
      <c r="E198" s="47"/>
      <c r="F198" s="41"/>
      <c r="J198">
        <v>0</v>
      </c>
      <c r="L198">
        <v>0</v>
      </c>
    </row>
    <row r="199" spans="1:15" ht="20.100000000000001" customHeight="1">
      <c r="A199" s="39"/>
      <c r="B199" s="47"/>
      <c r="C199" s="47"/>
      <c r="D199" s="47"/>
      <c r="E199" s="47"/>
      <c r="F199" s="41"/>
      <c r="J199">
        <v>0</v>
      </c>
      <c r="L199">
        <v>0</v>
      </c>
    </row>
    <row r="200" spans="1:15" ht="20.100000000000001" customHeight="1">
      <c r="A200" s="39" t="s">
        <v>289</v>
      </c>
      <c r="B200" s="47"/>
      <c r="C200" s="47"/>
      <c r="D200" s="47"/>
      <c r="E200" s="47"/>
      <c r="F200" s="41"/>
      <c r="J200">
        <v>0</v>
      </c>
      <c r="L200">
        <v>0</v>
      </c>
    </row>
    <row r="201" spans="1:15" ht="20.100000000000001" customHeight="1">
      <c r="A201" s="39" t="s">
        <v>246</v>
      </c>
      <c r="B201" s="47"/>
      <c r="C201" s="47"/>
      <c r="D201" s="47"/>
      <c r="E201" s="47"/>
      <c r="F201" s="51"/>
      <c r="J201">
        <v>0</v>
      </c>
      <c r="L201">
        <v>1</v>
      </c>
      <c r="M201">
        <v>21395</v>
      </c>
      <c r="N201">
        <v>57077</v>
      </c>
      <c r="O201">
        <v>28955</v>
      </c>
    </row>
    <row r="202" spans="1:15" ht="20.100000000000001" customHeight="1">
      <c r="A202" s="39" t="str">
        <f>"q1 = " &amp; L202</f>
        <v>q1 = 1</v>
      </c>
      <c r="B202" s="47"/>
      <c r="C202" s="47"/>
      <c r="D202" s="47"/>
      <c r="E202" s="47"/>
      <c r="F202" s="41"/>
      <c r="J202">
        <v>0</v>
      </c>
      <c r="K202" t="s">
        <v>259</v>
      </c>
      <c r="L202">
        <v>1</v>
      </c>
    </row>
    <row r="203" spans="1:15" ht="20.100000000000001" customHeight="1">
      <c r="A203" s="39" t="str">
        <f>"k = " &amp; L203</f>
        <v>k = 0.55</v>
      </c>
      <c r="B203" s="47">
        <v>0</v>
      </c>
      <c r="C203" s="47">
        <v>0</v>
      </c>
      <c r="D203" s="47">
        <v>0</v>
      </c>
      <c r="E203" s="47">
        <v>0</v>
      </c>
      <c r="F203" s="41"/>
      <c r="J203">
        <v>0</v>
      </c>
      <c r="K203" t="s">
        <v>237</v>
      </c>
      <c r="L203">
        <v>0.55000000000000004</v>
      </c>
    </row>
    <row r="204" spans="1:15" ht="20.100000000000001" customHeight="1">
      <c r="A204" s="39" t="str">
        <f>"f = 1/1.5 = " &amp; L204</f>
        <v>f = 1/1.5 = 0.67</v>
      </c>
      <c r="B204" s="47">
        <v>0</v>
      </c>
      <c r="C204" s="47">
        <v>0</v>
      </c>
      <c r="D204" s="47">
        <v>0</v>
      </c>
      <c r="E204" s="47">
        <v>0</v>
      </c>
      <c r="F204" s="41"/>
      <c r="J204">
        <v>0</v>
      </c>
      <c r="K204" t="s">
        <v>238</v>
      </c>
      <c r="L204">
        <v>0.67</v>
      </c>
    </row>
    <row r="205" spans="1:15" ht="20.100000000000001" customHeight="1">
      <c r="A205" s="39" t="str">
        <f>"E = " &amp; L205</f>
        <v>E = 0.35</v>
      </c>
      <c r="B205" s="47">
        <v>0</v>
      </c>
      <c r="C205" s="47">
        <v>0</v>
      </c>
      <c r="D205" s="47">
        <v>0</v>
      </c>
      <c r="E205" s="47">
        <v>0</v>
      </c>
      <c r="F205" s="41"/>
      <c r="J205">
        <v>0</v>
      </c>
      <c r="K205" t="s">
        <v>239</v>
      </c>
      <c r="L205">
        <v>0.35</v>
      </c>
    </row>
    <row r="206" spans="1:15" ht="20.100000000000001" customHeight="1">
      <c r="A206" s="39" t="str">
        <f>"Cm = " &amp; L206</f>
        <v>Cm = 21</v>
      </c>
      <c r="B206" s="47"/>
      <c r="C206" s="47"/>
      <c r="D206" s="47"/>
      <c r="E206" s="47"/>
      <c r="F206" s="41"/>
      <c r="J206">
        <v>0</v>
      </c>
      <c r="K206" t="s">
        <v>240</v>
      </c>
      <c r="L206">
        <v>21</v>
      </c>
    </row>
    <row r="207" spans="1:15" ht="20.100000000000001" customHeight="1">
      <c r="A207" s="39" t="str">
        <f>"Q = 3600*q1*k*f*E/Cm = " &amp; L207</f>
        <v>Q = 3600*q1*k*f*E/Cm = 22.11</v>
      </c>
      <c r="B207" s="47"/>
      <c r="C207" s="47"/>
      <c r="D207" s="47"/>
      <c r="E207" s="47"/>
      <c r="F207" s="41"/>
      <c r="J207">
        <v>0</v>
      </c>
      <c r="K207" t="s">
        <v>241</v>
      </c>
      <c r="L207">
        <f>ROUND(3600*L202*L203*L204*L205/L206, 2)</f>
        <v>22.11</v>
      </c>
    </row>
    <row r="208" spans="1:15" ht="20.100000000000001" customHeight="1">
      <c r="A208" s="39" t="str">
        <f>"재료비 : " &amp; TEXT(TRUNC(M208,0), "#,##0") &amp; " / 22.11"</f>
        <v>재료비 : 21,395 / 22.11</v>
      </c>
      <c r="B208" s="47"/>
      <c r="C208" s="47"/>
      <c r="D208" s="47"/>
      <c r="E208" s="47"/>
      <c r="F208" s="41"/>
      <c r="I208" s="1" t="s">
        <v>59</v>
      </c>
      <c r="J208">
        <v>1</v>
      </c>
      <c r="L208">
        <v>0</v>
      </c>
      <c r="M208">
        <f>M201</f>
        <v>21395</v>
      </c>
    </row>
    <row r="209" spans="1:15" ht="20.100000000000001" customHeight="1">
      <c r="A209" s="39" t="str">
        <f>"노무비 : " &amp; TEXT(TRUNC(N209,0), "#,##0") &amp; " / 22.11"</f>
        <v>노무비 : 57,077 / 22.11</v>
      </c>
      <c r="B209" s="47"/>
      <c r="C209" s="47"/>
      <c r="D209" s="47"/>
      <c r="E209" s="47"/>
      <c r="F209" s="41"/>
      <c r="I209" s="1" t="s">
        <v>59</v>
      </c>
      <c r="J209">
        <v>1</v>
      </c>
      <c r="L209">
        <v>0</v>
      </c>
      <c r="N209">
        <f>N201</f>
        <v>57077</v>
      </c>
    </row>
    <row r="210" spans="1:15" ht="20.100000000000001" customHeight="1">
      <c r="A210" s="39" t="str">
        <f>"경  비 : " &amp; TEXT(TRUNC(O210,0), "#,##0") &amp; " / 22.11"</f>
        <v>경  비 : 28,955 / 22.11</v>
      </c>
      <c r="B210" s="47"/>
      <c r="C210" s="47"/>
      <c r="D210" s="47"/>
      <c r="E210" s="47"/>
      <c r="F210" s="41"/>
      <c r="I210" s="1" t="s">
        <v>59</v>
      </c>
      <c r="J210">
        <v>1</v>
      </c>
      <c r="L210">
        <v>0</v>
      </c>
      <c r="O210">
        <f>O201</f>
        <v>28955</v>
      </c>
    </row>
    <row r="211" spans="1:15" ht="20.100000000000001" customHeight="1">
      <c r="A211" s="39" t="s">
        <v>63</v>
      </c>
      <c r="B211" s="47"/>
      <c r="C211" s="47"/>
      <c r="D211" s="47"/>
      <c r="E211" s="47"/>
      <c r="F211" s="41"/>
      <c r="J211">
        <v>0</v>
      </c>
      <c r="L211">
        <v>0</v>
      </c>
    </row>
    <row r="212" spans="1:15" ht="20.100000000000001" customHeight="1">
      <c r="A212" s="42" t="s">
        <v>31</v>
      </c>
      <c r="B212" s="48">
        <f>ROUNDDOWN(SUMIF(J186:J211, "1", B186:B211), 0)</f>
        <v>0</v>
      </c>
      <c r="C212" s="48">
        <f>ROUNDDOWN(SUMIF(J186:J211, "1", C186:C211), 0)</f>
        <v>0</v>
      </c>
      <c r="D212" s="48">
        <f>ROUNDDOWN(SUMIF(J186:J211, "1", D186:D211), 0)</f>
        <v>0</v>
      </c>
      <c r="E212" s="48">
        <f>B212+C212+D212</f>
        <v>0</v>
      </c>
      <c r="F212" s="45"/>
    </row>
    <row r="213" spans="1:15" ht="20.100000000000001" customHeight="1">
      <c r="A213" s="39"/>
      <c r="B213" s="47"/>
      <c r="C213" s="47"/>
      <c r="D213" s="47"/>
      <c r="E213" s="47"/>
      <c r="F213" s="41"/>
    </row>
    <row r="214" spans="1:15" ht="20.100000000000001" customHeight="1">
      <c r="A214" s="144" t="s">
        <v>290</v>
      </c>
      <c r="B214" s="146"/>
      <c r="C214" s="146"/>
      <c r="D214" s="146"/>
      <c r="E214" s="146"/>
      <c r="F214" s="50"/>
    </row>
    <row r="215" spans="1:15" ht="20.100000000000001" customHeight="1">
      <c r="A215" s="39" t="s">
        <v>291</v>
      </c>
      <c r="B215" s="47">
        <v>0</v>
      </c>
      <c r="C215" s="47">
        <v>0</v>
      </c>
      <c r="D215" s="47">
        <v>0</v>
      </c>
      <c r="E215" s="47">
        <v>0</v>
      </c>
      <c r="F215" s="41"/>
      <c r="J215">
        <v>0</v>
      </c>
      <c r="L215">
        <v>0</v>
      </c>
    </row>
    <row r="216" spans="1:15" ht="20.100000000000001" customHeight="1">
      <c r="A216" s="39" t="s">
        <v>292</v>
      </c>
      <c r="B216" s="47">
        <v>0</v>
      </c>
      <c r="C216" s="47">
        <v>0</v>
      </c>
      <c r="D216" s="47">
        <v>0</v>
      </c>
      <c r="E216" s="47">
        <v>0</v>
      </c>
      <c r="F216" s="41"/>
      <c r="J216">
        <v>0</v>
      </c>
      <c r="L216">
        <v>0</v>
      </c>
    </row>
    <row r="217" spans="1:15" ht="20.100000000000001" customHeight="1">
      <c r="A217" s="39" t="s">
        <v>293</v>
      </c>
      <c r="B217" s="47">
        <v>0</v>
      </c>
      <c r="C217" s="47">
        <v>0</v>
      </c>
      <c r="D217" s="47">
        <v>0</v>
      </c>
      <c r="E217" s="47">
        <v>0</v>
      </c>
      <c r="F217" s="41"/>
      <c r="J217">
        <v>0</v>
      </c>
      <c r="L217">
        <v>0</v>
      </c>
    </row>
    <row r="218" spans="1:15" ht="20.100000000000001" customHeight="1">
      <c r="A218" s="39" t="s">
        <v>294</v>
      </c>
      <c r="B218" s="47">
        <v>0</v>
      </c>
      <c r="C218" s="47">
        <v>0</v>
      </c>
      <c r="D218" s="47">
        <v>0</v>
      </c>
      <c r="E218" s="47">
        <v>0</v>
      </c>
      <c r="F218" s="41"/>
      <c r="J218">
        <v>0</v>
      </c>
      <c r="L218">
        <v>0</v>
      </c>
    </row>
    <row r="219" spans="1:15" ht="20.100000000000001" customHeight="1">
      <c r="A219" s="39" t="s">
        <v>295</v>
      </c>
      <c r="B219" s="47">
        <v>0</v>
      </c>
      <c r="C219" s="47">
        <v>0</v>
      </c>
      <c r="D219" s="47">
        <v>0</v>
      </c>
      <c r="E219" s="47">
        <v>0</v>
      </c>
      <c r="F219" s="41"/>
      <c r="J219">
        <v>0</v>
      </c>
      <c r="L219">
        <v>0</v>
      </c>
    </row>
    <row r="220" spans="1:15" ht="20.100000000000001" customHeight="1">
      <c r="A220" s="39" t="s">
        <v>296</v>
      </c>
      <c r="B220" s="47">
        <v>0</v>
      </c>
      <c r="C220" s="47">
        <v>0</v>
      </c>
      <c r="D220" s="47">
        <v>0</v>
      </c>
      <c r="E220" s="47">
        <v>0</v>
      </c>
      <c r="F220" s="41"/>
      <c r="J220">
        <v>0</v>
      </c>
      <c r="L220">
        <v>0</v>
      </c>
    </row>
    <row r="221" spans="1:15" ht="20.100000000000001" customHeight="1">
      <c r="A221" s="39" t="s">
        <v>297</v>
      </c>
      <c r="B221" s="47">
        <v>0</v>
      </c>
      <c r="C221" s="47">
        <v>0</v>
      </c>
      <c r="D221" s="47">
        <v>0</v>
      </c>
      <c r="E221" s="47">
        <v>0</v>
      </c>
      <c r="F221" s="41"/>
      <c r="J221">
        <v>0</v>
      </c>
      <c r="L221">
        <v>0</v>
      </c>
    </row>
    <row r="222" spans="1:15" ht="20.100000000000001" customHeight="1">
      <c r="A222" s="39" t="s">
        <v>298</v>
      </c>
      <c r="B222" s="47">
        <v>0</v>
      </c>
      <c r="C222" s="47">
        <v>0</v>
      </c>
      <c r="D222" s="47">
        <v>0</v>
      </c>
      <c r="E222" s="47">
        <v>0</v>
      </c>
      <c r="F222" s="41"/>
      <c r="J222">
        <v>0</v>
      </c>
      <c r="L222">
        <v>0</v>
      </c>
    </row>
    <row r="223" spans="1:15" ht="20.100000000000001" customHeight="1">
      <c r="A223" s="39" t="s">
        <v>299</v>
      </c>
      <c r="B223" s="47">
        <v>0</v>
      </c>
      <c r="C223" s="47">
        <v>0</v>
      </c>
      <c r="D223" s="47">
        <v>0</v>
      </c>
      <c r="E223" s="47">
        <v>0</v>
      </c>
      <c r="F223" s="41"/>
      <c r="I223" s="1" t="s">
        <v>59</v>
      </c>
      <c r="J223">
        <v>1</v>
      </c>
      <c r="L223">
        <v>0</v>
      </c>
    </row>
    <row r="224" spans="1:15" ht="20.100000000000001" customHeight="1">
      <c r="A224" s="39" t="s">
        <v>300</v>
      </c>
      <c r="B224" s="47">
        <v>0</v>
      </c>
      <c r="C224" s="47">
        <v>0</v>
      </c>
      <c r="D224" s="47">
        <v>0</v>
      </c>
      <c r="E224" s="47">
        <v>0</v>
      </c>
      <c r="F224" s="41"/>
      <c r="J224">
        <v>0</v>
      </c>
      <c r="L224">
        <v>0</v>
      </c>
    </row>
    <row r="225" spans="1:15" ht="20.100000000000001" customHeight="1">
      <c r="A225" s="39" t="s">
        <v>301</v>
      </c>
      <c r="B225" s="47"/>
      <c r="C225" s="47"/>
      <c r="D225" s="47"/>
      <c r="E225" s="47"/>
      <c r="F225" s="51"/>
      <c r="J225">
        <v>0</v>
      </c>
      <c r="L225">
        <v>1</v>
      </c>
      <c r="M225">
        <v>1149</v>
      </c>
      <c r="N225">
        <v>57473</v>
      </c>
      <c r="O225">
        <v>0</v>
      </c>
    </row>
    <row r="226" spans="1:15" ht="20.100000000000001" customHeight="1">
      <c r="A226" s="39" t="str">
        <f>"재료비 : " &amp; TEXT(TRUNC(M226,0), "#,##0") &amp; "  "</f>
        <v xml:space="preserve">재료비 : 1,149  </v>
      </c>
      <c r="B226" s="47"/>
      <c r="C226" s="47"/>
      <c r="D226" s="47"/>
      <c r="E226" s="47"/>
      <c r="F226" s="41"/>
      <c r="I226" s="1" t="s">
        <v>59</v>
      </c>
      <c r="J226">
        <v>1</v>
      </c>
      <c r="L226">
        <v>0</v>
      </c>
      <c r="M226">
        <f>M225</f>
        <v>1149</v>
      </c>
    </row>
    <row r="227" spans="1:15" ht="20.100000000000001" customHeight="1">
      <c r="A227" s="39" t="str">
        <f>"노무비 : " &amp; TEXT(TRUNC(N227,0), "#,##0") &amp; "  "</f>
        <v xml:space="preserve">노무비 : 57,473  </v>
      </c>
      <c r="B227" s="47"/>
      <c r="C227" s="47"/>
      <c r="D227" s="47"/>
      <c r="E227" s="47"/>
      <c r="F227" s="41"/>
      <c r="I227" s="1" t="s">
        <v>59</v>
      </c>
      <c r="J227">
        <v>1</v>
      </c>
      <c r="L227">
        <v>0</v>
      </c>
      <c r="N227">
        <f>N225</f>
        <v>57473</v>
      </c>
    </row>
    <row r="228" spans="1:15" ht="20.100000000000001" customHeight="1">
      <c r="A228" s="39" t="s">
        <v>63</v>
      </c>
      <c r="B228" s="47"/>
      <c r="C228" s="47"/>
      <c r="D228" s="47"/>
      <c r="E228" s="47"/>
      <c r="F228" s="41"/>
      <c r="J228">
        <v>0</v>
      </c>
      <c r="L228">
        <v>0</v>
      </c>
    </row>
    <row r="229" spans="1:15" ht="20.100000000000001" customHeight="1">
      <c r="A229" s="42" t="s">
        <v>31</v>
      </c>
      <c r="B229" s="48">
        <f>ROUNDDOWN(SUMIF(J215:J228, "1", B215:B228), 0)</f>
        <v>0</v>
      </c>
      <c r="C229" s="48">
        <f>ROUNDDOWN(SUMIF(J215:J228, "1", C215:C228), 0)</f>
        <v>0</v>
      </c>
      <c r="D229" s="48">
        <f>ROUNDDOWN(SUMIF(J215:J228, "1", D215:D228), 0)</f>
        <v>0</v>
      </c>
      <c r="E229" s="48">
        <f>B229+C229+D229</f>
        <v>0</v>
      </c>
      <c r="F229" s="45"/>
    </row>
    <row r="230" spans="1:15" ht="20.100000000000001" customHeight="1">
      <c r="A230" s="39"/>
      <c r="B230" s="47"/>
      <c r="C230" s="47"/>
      <c r="D230" s="47"/>
      <c r="E230" s="47"/>
      <c r="F230" s="41"/>
    </row>
    <row r="231" spans="1:15" ht="20.100000000000001" customHeight="1">
      <c r="A231" s="144" t="s">
        <v>302</v>
      </c>
      <c r="B231" s="146"/>
      <c r="C231" s="146"/>
      <c r="D231" s="146"/>
      <c r="E231" s="146"/>
      <c r="F231" s="50"/>
    </row>
    <row r="232" spans="1:15" ht="20.100000000000001" customHeight="1">
      <c r="A232" s="39" t="s">
        <v>303</v>
      </c>
      <c r="B232" s="47">
        <v>0</v>
      </c>
      <c r="C232" s="47">
        <v>0</v>
      </c>
      <c r="D232" s="47">
        <v>0</v>
      </c>
      <c r="E232" s="47">
        <v>0</v>
      </c>
      <c r="F232" s="41"/>
      <c r="J232">
        <v>0</v>
      </c>
      <c r="L232">
        <v>0</v>
      </c>
    </row>
    <row r="233" spans="1:15" ht="20.100000000000001" customHeight="1">
      <c r="A233" s="39" t="s">
        <v>304</v>
      </c>
      <c r="B233" s="47">
        <v>0</v>
      </c>
      <c r="C233" s="47">
        <v>0</v>
      </c>
      <c r="D233" s="47">
        <v>0</v>
      </c>
      <c r="E233" s="47">
        <v>0</v>
      </c>
      <c r="F233" s="41"/>
      <c r="J233">
        <v>0</v>
      </c>
      <c r="L233">
        <v>0</v>
      </c>
    </row>
    <row r="234" spans="1:15" ht="20.100000000000001" customHeight="1">
      <c r="A234" s="39" t="s">
        <v>305</v>
      </c>
      <c r="B234" s="47">
        <v>0</v>
      </c>
      <c r="C234" s="47">
        <v>0</v>
      </c>
      <c r="D234" s="47">
        <v>0</v>
      </c>
      <c r="E234" s="47">
        <v>0</v>
      </c>
      <c r="F234" s="41"/>
      <c r="J234">
        <v>0</v>
      </c>
      <c r="L234">
        <v>0</v>
      </c>
    </row>
    <row r="235" spans="1:15" ht="20.100000000000001" customHeight="1">
      <c r="A235" s="39" t="s">
        <v>306</v>
      </c>
      <c r="B235" s="47">
        <v>0</v>
      </c>
      <c r="C235" s="47">
        <v>0</v>
      </c>
      <c r="D235" s="47">
        <v>0</v>
      </c>
      <c r="E235" s="47">
        <v>0</v>
      </c>
      <c r="F235" s="41"/>
      <c r="J235">
        <v>0</v>
      </c>
      <c r="L235">
        <v>0</v>
      </c>
    </row>
    <row r="236" spans="1:15" ht="20.100000000000001" customHeight="1">
      <c r="A236" s="39" t="s">
        <v>307</v>
      </c>
      <c r="B236" s="47">
        <v>0</v>
      </c>
      <c r="C236" s="47">
        <v>0</v>
      </c>
      <c r="D236" s="47">
        <v>0</v>
      </c>
      <c r="E236" s="47">
        <v>0</v>
      </c>
      <c r="F236" s="41"/>
      <c r="J236">
        <v>0</v>
      </c>
      <c r="L236">
        <v>0</v>
      </c>
    </row>
    <row r="237" spans="1:15" ht="20.100000000000001" customHeight="1">
      <c r="A237" s="39" t="s">
        <v>308</v>
      </c>
      <c r="B237" s="47">
        <v>0</v>
      </c>
      <c r="C237" s="47">
        <v>0</v>
      </c>
      <c r="D237" s="47">
        <v>0</v>
      </c>
      <c r="E237" s="47">
        <v>0</v>
      </c>
      <c r="F237" s="41"/>
      <c r="J237">
        <v>0</v>
      </c>
      <c r="L237">
        <v>0</v>
      </c>
    </row>
    <row r="238" spans="1:15" ht="20.100000000000001" customHeight="1">
      <c r="A238" s="39" t="s">
        <v>309</v>
      </c>
      <c r="B238" s="47">
        <v>0</v>
      </c>
      <c r="C238" s="47">
        <v>0</v>
      </c>
      <c r="D238" s="47">
        <v>0</v>
      </c>
      <c r="E238" s="47">
        <v>0</v>
      </c>
      <c r="F238" s="41"/>
      <c r="J238">
        <v>0</v>
      </c>
      <c r="L238">
        <v>0</v>
      </c>
    </row>
    <row r="239" spans="1:15" ht="20.100000000000001" customHeight="1">
      <c r="A239" s="39" t="s">
        <v>310</v>
      </c>
      <c r="B239" s="47"/>
      <c r="C239" s="47"/>
      <c r="D239" s="47"/>
      <c r="E239" s="47"/>
      <c r="F239" s="51"/>
      <c r="J239">
        <v>0</v>
      </c>
      <c r="L239">
        <v>1</v>
      </c>
      <c r="M239">
        <v>147</v>
      </c>
      <c r="N239">
        <v>1145</v>
      </c>
      <c r="O239">
        <v>26</v>
      </c>
    </row>
    <row r="240" spans="1:15" ht="20.100000000000001" customHeight="1">
      <c r="A240" s="39" t="str">
        <f>"재료비 : " &amp; TEXT(TRUNC(M240,0), "#,##0") &amp; " * 1"</f>
        <v>재료비 : 147 * 1</v>
      </c>
      <c r="B240" s="47"/>
      <c r="C240" s="47"/>
      <c r="D240" s="47"/>
      <c r="E240" s="47"/>
      <c r="F240" s="41"/>
      <c r="I240" s="1" t="s">
        <v>59</v>
      </c>
      <c r="J240">
        <v>1</v>
      </c>
      <c r="L240">
        <v>0</v>
      </c>
      <c r="M240">
        <f>M239</f>
        <v>147</v>
      </c>
    </row>
    <row r="241" spans="1:15" ht="20.100000000000001" customHeight="1">
      <c r="A241" s="39" t="str">
        <f>"노무비 : " &amp; TEXT(TRUNC(N241,0), "#,##0") &amp; " * 1"</f>
        <v>노무비 : 1,145 * 1</v>
      </c>
      <c r="B241" s="47"/>
      <c r="C241" s="47"/>
      <c r="D241" s="47"/>
      <c r="E241" s="47"/>
      <c r="F241" s="41"/>
      <c r="I241" s="1" t="s">
        <v>59</v>
      </c>
      <c r="J241">
        <v>1</v>
      </c>
      <c r="L241">
        <v>0</v>
      </c>
      <c r="N241">
        <f>N239</f>
        <v>1145</v>
      </c>
    </row>
    <row r="242" spans="1:15" ht="20.100000000000001" customHeight="1">
      <c r="A242" s="39" t="str">
        <f>"경  비 : " &amp; TEXT(TRUNC(O242,0), "#,##0") &amp; " * 1"</f>
        <v>경  비 : 26 * 1</v>
      </c>
      <c r="B242" s="47"/>
      <c r="C242" s="47"/>
      <c r="D242" s="47"/>
      <c r="E242" s="47"/>
      <c r="F242" s="41"/>
      <c r="I242" s="1" t="s">
        <v>59</v>
      </c>
      <c r="J242">
        <v>1</v>
      </c>
      <c r="L242">
        <v>0</v>
      </c>
      <c r="O242">
        <f>O239</f>
        <v>26</v>
      </c>
    </row>
    <row r="243" spans="1:15" ht="20.100000000000001" customHeight="1">
      <c r="A243" s="39" t="s">
        <v>63</v>
      </c>
      <c r="B243" s="47"/>
      <c r="C243" s="47"/>
      <c r="D243" s="47"/>
      <c r="E243" s="47"/>
      <c r="F243" s="41"/>
      <c r="J243">
        <v>0</v>
      </c>
      <c r="L243">
        <v>0</v>
      </c>
    </row>
    <row r="244" spans="1:15" ht="20.100000000000001" customHeight="1">
      <c r="A244" s="42" t="s">
        <v>31</v>
      </c>
      <c r="B244" s="48">
        <f>ROUNDDOWN(SUMIF(J232:J243, "1", B232:B243), 0)</f>
        <v>0</v>
      </c>
      <c r="C244" s="48">
        <f>ROUNDDOWN(SUMIF(J232:J243, "1", C232:C243), 0)</f>
        <v>0</v>
      </c>
      <c r="D244" s="48">
        <f>ROUNDDOWN(SUMIF(J232:J243, "1", D232:D243), 0)</f>
        <v>0</v>
      </c>
      <c r="E244" s="48">
        <f>B244+C244+D244</f>
        <v>0</v>
      </c>
      <c r="F244" s="45"/>
    </row>
    <row r="245" spans="1:15" ht="20.100000000000001" customHeight="1">
      <c r="A245" s="39"/>
      <c r="B245" s="47"/>
      <c r="C245" s="47"/>
      <c r="D245" s="47"/>
      <c r="E245" s="47"/>
      <c r="F245" s="41"/>
    </row>
    <row r="246" spans="1:15" ht="20.100000000000001" customHeight="1">
      <c r="A246" s="39"/>
      <c r="B246" s="47"/>
      <c r="C246" s="47"/>
      <c r="D246" s="47"/>
      <c r="E246" s="47"/>
      <c r="F246" s="41"/>
    </row>
    <row r="247" spans="1:15" ht="20.100000000000001" customHeight="1">
      <c r="A247" s="39"/>
      <c r="B247" s="47"/>
      <c r="C247" s="47"/>
      <c r="D247" s="47"/>
      <c r="E247" s="47"/>
      <c r="F247" s="41"/>
    </row>
    <row r="248" spans="1:15" ht="20.100000000000001" customHeight="1">
      <c r="A248" s="39"/>
      <c r="B248" s="47"/>
      <c r="C248" s="47"/>
      <c r="D248" s="47"/>
      <c r="E248" s="47"/>
      <c r="F248" s="41"/>
    </row>
    <row r="249" spans="1:15" ht="20.100000000000001" customHeight="1">
      <c r="A249" s="39"/>
      <c r="B249" s="47"/>
      <c r="C249" s="47"/>
      <c r="D249" s="47"/>
      <c r="E249" s="47"/>
      <c r="F249" s="41"/>
    </row>
    <row r="250" spans="1:15" ht="20.100000000000001" customHeight="1">
      <c r="A250" s="39"/>
      <c r="B250" s="47"/>
      <c r="C250" s="47"/>
      <c r="D250" s="47"/>
      <c r="E250" s="47"/>
      <c r="F250" s="41"/>
    </row>
    <row r="251" spans="1:15" ht="20.100000000000001" customHeight="1">
      <c r="A251" s="39"/>
      <c r="B251" s="47"/>
      <c r="C251" s="47"/>
      <c r="D251" s="47"/>
      <c r="E251" s="47"/>
      <c r="F251" s="41"/>
    </row>
  </sheetData>
  <mergeCells count="21">
    <mergeCell ref="A1:F1"/>
    <mergeCell ref="A2:F2"/>
    <mergeCell ref="A3:A4"/>
    <mergeCell ref="F3:F4"/>
    <mergeCell ref="B3:B4"/>
    <mergeCell ref="C3:C4"/>
    <mergeCell ref="D3:D4"/>
    <mergeCell ref="E3:E4"/>
    <mergeCell ref="A129:E129"/>
    <mergeCell ref="A92:E92"/>
    <mergeCell ref="A117:E117"/>
    <mergeCell ref="A5:E5"/>
    <mergeCell ref="A8:E8"/>
    <mergeCell ref="A26:E26"/>
    <mergeCell ref="A45:E45"/>
    <mergeCell ref="A64:E64"/>
    <mergeCell ref="A231:E231"/>
    <mergeCell ref="A214:E214"/>
    <mergeCell ref="A185:E185"/>
    <mergeCell ref="A164:E164"/>
    <mergeCell ref="A145:E145"/>
  </mergeCells>
  <phoneticPr fontId="1" type="noConversion"/>
  <conditionalFormatting sqref="A5 F5 A6:F251">
    <cfRule type="containsText" dxfId="5" priority="1" stopIfTrue="1" operator="containsText" text=".">
      <formula>NOT(ISERROR(SEARCH(".",A5)))</formula>
    </cfRule>
    <cfRule type="notContainsText" dxfId="4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9D86"/>
  </sheetPr>
  <dimension ref="A1:O2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0" sqref="I20"/>
    </sheetView>
  </sheetViews>
  <sheetFormatPr defaultRowHeight="16.5"/>
  <cols>
    <col min="1" max="1" width="7.625" style="3" customWidth="1"/>
    <col min="2" max="3" width="19.625" style="2" customWidth="1"/>
    <col min="4" max="4" width="4.625" style="3" customWidth="1"/>
    <col min="5" max="5" width="6.625" style="3" customWidth="1"/>
    <col min="6" max="6" width="6.625" style="4" customWidth="1"/>
    <col min="7" max="7" width="7.625" style="4" customWidth="1"/>
    <col min="8" max="8" width="6.625" style="4" customWidth="1"/>
    <col min="9" max="9" width="7.625" style="4" customWidth="1"/>
    <col min="10" max="10" width="6.625" style="4" customWidth="1"/>
    <col min="11" max="11" width="7.625" style="4" customWidth="1"/>
    <col min="12" max="12" width="6.625" style="4" customWidth="1"/>
    <col min="13" max="13" width="7.625" style="4" customWidth="1"/>
    <col min="14" max="14" width="6.625" style="2" customWidth="1"/>
    <col min="15" max="18" width="0" hidden="1" customWidth="1"/>
  </cols>
  <sheetData>
    <row r="1" spans="1:15" ht="30" customHeight="1">
      <c r="A1" s="118" t="s">
        <v>197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ht="20.100000000000001" customHeight="1">
      <c r="A2" s="119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ht="20.100000000000001" customHeight="1">
      <c r="A3" s="127" t="s">
        <v>198</v>
      </c>
      <c r="B3" s="127" t="s">
        <v>199</v>
      </c>
      <c r="C3" s="127" t="s">
        <v>200</v>
      </c>
      <c r="D3" s="127" t="s">
        <v>9</v>
      </c>
      <c r="E3" s="127" t="s">
        <v>201</v>
      </c>
      <c r="F3" s="127" t="s">
        <v>202</v>
      </c>
      <c r="G3" s="127"/>
      <c r="H3" s="127" t="s">
        <v>203</v>
      </c>
      <c r="I3" s="127"/>
      <c r="J3" s="127" t="s">
        <v>204</v>
      </c>
      <c r="K3" s="127"/>
      <c r="L3" s="127" t="s">
        <v>205</v>
      </c>
      <c r="M3" s="127"/>
      <c r="N3" s="127" t="s">
        <v>40</v>
      </c>
    </row>
    <row r="4" spans="1:15" ht="20.100000000000001" customHeight="1">
      <c r="A4" s="127"/>
      <c r="B4" s="127"/>
      <c r="C4" s="127"/>
      <c r="D4" s="127"/>
      <c r="E4" s="127"/>
      <c r="F4" s="5" t="s">
        <v>41</v>
      </c>
      <c r="G4" s="5" t="s">
        <v>42</v>
      </c>
      <c r="H4" s="5" t="s">
        <v>41</v>
      </c>
      <c r="I4" s="5" t="s">
        <v>42</v>
      </c>
      <c r="J4" s="5" t="s">
        <v>41</v>
      </c>
      <c r="K4" s="5" t="s">
        <v>42</v>
      </c>
      <c r="L4" s="5" t="s">
        <v>41</v>
      </c>
      <c r="M4" s="5" t="s">
        <v>42</v>
      </c>
      <c r="N4" s="127"/>
      <c r="O4" t="s">
        <v>49</v>
      </c>
    </row>
    <row r="5" spans="1:15" ht="20.100000000000001" customHeight="1">
      <c r="A5" s="40" t="s">
        <v>206</v>
      </c>
      <c r="B5" s="38" t="s">
        <v>207</v>
      </c>
      <c r="C5" s="38" t="s">
        <v>208</v>
      </c>
      <c r="D5" s="40" t="s">
        <v>209</v>
      </c>
      <c r="E5" s="46">
        <v>1</v>
      </c>
      <c r="F5" s="47"/>
      <c r="G5" s="47"/>
      <c r="H5" s="47"/>
      <c r="I5" s="47"/>
      <c r="J5" s="47"/>
      <c r="K5" s="47"/>
      <c r="L5" s="47"/>
      <c r="M5" s="47"/>
      <c r="N5" s="38"/>
    </row>
    <row r="6" spans="1:15" ht="20.100000000000001" customHeight="1">
      <c r="A6" s="40" t="s">
        <v>210</v>
      </c>
      <c r="B6" s="38" t="s">
        <v>54</v>
      </c>
      <c r="C6" s="38" t="s">
        <v>211</v>
      </c>
      <c r="D6" s="40" t="s">
        <v>209</v>
      </c>
      <c r="E6" s="46">
        <v>1</v>
      </c>
      <c r="F6" s="47"/>
      <c r="G6" s="47"/>
      <c r="H6" s="47"/>
      <c r="I6" s="47"/>
      <c r="J6" s="47"/>
      <c r="K6" s="47"/>
      <c r="L6" s="47"/>
      <c r="M6" s="47"/>
      <c r="N6" s="38"/>
    </row>
    <row r="7" spans="1:15" ht="20.100000000000001" customHeight="1">
      <c r="A7" s="40" t="s">
        <v>212</v>
      </c>
      <c r="B7" s="38" t="s">
        <v>54</v>
      </c>
      <c r="C7" s="38" t="s">
        <v>213</v>
      </c>
      <c r="D7" s="40" t="s">
        <v>209</v>
      </c>
      <c r="E7" s="46">
        <v>1</v>
      </c>
      <c r="F7" s="47"/>
      <c r="G7" s="47"/>
      <c r="H7" s="47"/>
      <c r="I7" s="47"/>
      <c r="J7" s="47"/>
      <c r="K7" s="47"/>
      <c r="L7" s="47"/>
      <c r="M7" s="47"/>
      <c r="N7" s="38"/>
    </row>
    <row r="8" spans="1:15" ht="20.100000000000001" customHeight="1">
      <c r="A8" s="40" t="s">
        <v>214</v>
      </c>
      <c r="B8" s="38" t="s">
        <v>215</v>
      </c>
      <c r="C8" s="38" t="s">
        <v>216</v>
      </c>
      <c r="D8" s="40" t="s">
        <v>209</v>
      </c>
      <c r="E8" s="46">
        <v>1</v>
      </c>
      <c r="F8" s="47"/>
      <c r="G8" s="47"/>
      <c r="H8" s="47"/>
      <c r="I8" s="47"/>
      <c r="J8" s="47"/>
      <c r="K8" s="47"/>
      <c r="L8" s="47"/>
      <c r="M8" s="47"/>
      <c r="N8" s="38"/>
    </row>
    <row r="9" spans="1:15" ht="20.100000000000001" customHeight="1">
      <c r="A9" s="40" t="s">
        <v>217</v>
      </c>
      <c r="B9" s="38" t="s">
        <v>118</v>
      </c>
      <c r="C9" s="38" t="s">
        <v>119</v>
      </c>
      <c r="D9" s="40" t="s">
        <v>209</v>
      </c>
      <c r="E9" s="46">
        <v>1</v>
      </c>
      <c r="F9" s="47"/>
      <c r="G9" s="47"/>
      <c r="H9" s="47"/>
      <c r="I9" s="47"/>
      <c r="J9" s="47"/>
      <c r="K9" s="47"/>
      <c r="L9" s="47"/>
      <c r="M9" s="47"/>
      <c r="N9" s="38"/>
    </row>
    <row r="10" spans="1:15" ht="20.100000000000001" customHeight="1">
      <c r="A10" s="40" t="s">
        <v>218</v>
      </c>
      <c r="B10" s="38" t="s">
        <v>133</v>
      </c>
      <c r="C10" s="38" t="s">
        <v>134</v>
      </c>
      <c r="D10" s="40" t="s">
        <v>209</v>
      </c>
      <c r="E10" s="46">
        <v>1</v>
      </c>
      <c r="F10" s="47"/>
      <c r="G10" s="47"/>
      <c r="H10" s="47"/>
      <c r="I10" s="47"/>
      <c r="J10" s="47"/>
      <c r="K10" s="47"/>
      <c r="L10" s="47"/>
      <c r="M10" s="47"/>
      <c r="N10" s="38"/>
    </row>
    <row r="11" spans="1:15" ht="20.100000000000001" customHeight="1">
      <c r="A11" s="40" t="s">
        <v>219</v>
      </c>
      <c r="B11" s="38" t="s">
        <v>149</v>
      </c>
      <c r="C11" s="38" t="s">
        <v>220</v>
      </c>
      <c r="D11" s="40" t="s">
        <v>209</v>
      </c>
      <c r="E11" s="46">
        <v>1</v>
      </c>
      <c r="F11" s="47"/>
      <c r="G11" s="47"/>
      <c r="H11" s="47"/>
      <c r="I11" s="47"/>
      <c r="J11" s="47"/>
      <c r="K11" s="47"/>
      <c r="L11" s="47"/>
      <c r="M11" s="47"/>
      <c r="N11" s="38"/>
    </row>
    <row r="12" spans="1:15" ht="20.100000000000001" customHeight="1">
      <c r="A12" s="40" t="s">
        <v>221</v>
      </c>
      <c r="B12" s="38" t="s">
        <v>222</v>
      </c>
      <c r="C12" s="38" t="s">
        <v>223</v>
      </c>
      <c r="D12" s="40" t="s">
        <v>209</v>
      </c>
      <c r="E12" s="46">
        <v>1</v>
      </c>
      <c r="F12" s="47"/>
      <c r="G12" s="47"/>
      <c r="H12" s="47"/>
      <c r="I12" s="47"/>
      <c r="J12" s="47"/>
      <c r="K12" s="47"/>
      <c r="L12" s="47"/>
      <c r="M12" s="47"/>
      <c r="N12" s="38"/>
    </row>
    <row r="13" spans="1:15" ht="20.100000000000001" customHeight="1">
      <c r="A13" s="40" t="s">
        <v>224</v>
      </c>
      <c r="B13" s="38" t="s">
        <v>225</v>
      </c>
      <c r="C13" s="38" t="s">
        <v>226</v>
      </c>
      <c r="D13" s="40" t="s">
        <v>209</v>
      </c>
      <c r="E13" s="46">
        <v>1</v>
      </c>
      <c r="F13" s="47"/>
      <c r="G13" s="47"/>
      <c r="H13" s="47"/>
      <c r="I13" s="47"/>
      <c r="J13" s="47"/>
      <c r="K13" s="47"/>
      <c r="L13" s="47"/>
      <c r="M13" s="47"/>
      <c r="N13" s="38"/>
    </row>
    <row r="14" spans="1:15" ht="20.100000000000001" customHeight="1">
      <c r="A14" s="40" t="s">
        <v>227</v>
      </c>
      <c r="B14" s="38" t="s">
        <v>185</v>
      </c>
      <c r="C14" s="38" t="s">
        <v>228</v>
      </c>
      <c r="D14" s="40" t="s">
        <v>209</v>
      </c>
      <c r="E14" s="46">
        <v>1</v>
      </c>
      <c r="F14" s="47"/>
      <c r="G14" s="47"/>
      <c r="H14" s="47"/>
      <c r="I14" s="47"/>
      <c r="J14" s="47"/>
      <c r="K14" s="47"/>
      <c r="L14" s="47"/>
      <c r="M14" s="47"/>
      <c r="N14" s="38"/>
    </row>
    <row r="15" spans="1:15" ht="20.100000000000001" customHeight="1">
      <c r="A15" s="46"/>
      <c r="B15" s="39"/>
      <c r="C15" s="39"/>
      <c r="D15" s="46"/>
      <c r="E15" s="46"/>
      <c r="F15" s="47"/>
      <c r="G15" s="47"/>
      <c r="H15" s="47"/>
      <c r="I15" s="47"/>
      <c r="J15" s="47"/>
      <c r="K15" s="47"/>
      <c r="L15" s="47"/>
      <c r="M15" s="47"/>
      <c r="N15" s="39"/>
    </row>
    <row r="16" spans="1:15" ht="20.100000000000001" customHeight="1">
      <c r="A16" s="46"/>
      <c r="B16" s="39"/>
      <c r="C16" s="39"/>
      <c r="D16" s="46"/>
      <c r="E16" s="46"/>
      <c r="F16" s="47"/>
      <c r="G16" s="47"/>
      <c r="H16" s="47"/>
      <c r="I16" s="47"/>
      <c r="J16" s="47"/>
      <c r="K16" s="47"/>
      <c r="L16" s="47"/>
      <c r="M16" s="47"/>
      <c r="N16" s="39"/>
    </row>
    <row r="17" spans="1:14" ht="20.100000000000001" customHeight="1">
      <c r="A17" s="46"/>
      <c r="B17" s="39"/>
      <c r="C17" s="39"/>
      <c r="D17" s="46"/>
      <c r="E17" s="46"/>
      <c r="F17" s="47"/>
      <c r="G17" s="47"/>
      <c r="H17" s="47"/>
      <c r="I17" s="47"/>
      <c r="J17" s="47"/>
      <c r="K17" s="47"/>
      <c r="L17" s="47"/>
      <c r="M17" s="47"/>
      <c r="N17" s="39"/>
    </row>
    <row r="18" spans="1:14" ht="20.100000000000001" customHeight="1">
      <c r="A18" s="46"/>
      <c r="B18" s="39"/>
      <c r="C18" s="39"/>
      <c r="D18" s="46"/>
      <c r="E18" s="46"/>
      <c r="F18" s="47"/>
      <c r="G18" s="47"/>
      <c r="H18" s="47"/>
      <c r="I18" s="47"/>
      <c r="J18" s="47"/>
      <c r="K18" s="47"/>
      <c r="L18" s="47"/>
      <c r="M18" s="47"/>
      <c r="N18" s="39"/>
    </row>
    <row r="19" spans="1:14" ht="20.100000000000001" customHeight="1">
      <c r="A19" s="46"/>
      <c r="B19" s="39"/>
      <c r="C19" s="39"/>
      <c r="D19" s="46"/>
      <c r="E19" s="46"/>
      <c r="F19" s="47"/>
      <c r="G19" s="47"/>
      <c r="H19" s="47"/>
      <c r="I19" s="47"/>
      <c r="J19" s="47"/>
      <c r="K19" s="47"/>
      <c r="L19" s="47"/>
      <c r="M19" s="47"/>
      <c r="N19" s="39"/>
    </row>
    <row r="20" spans="1:14" ht="20.100000000000001" customHeight="1">
      <c r="A20" s="46"/>
      <c r="B20" s="39"/>
      <c r="C20" s="39"/>
      <c r="D20" s="46"/>
      <c r="E20" s="46"/>
      <c r="F20" s="47"/>
      <c r="G20" s="47"/>
      <c r="H20" s="47"/>
      <c r="I20" s="47"/>
      <c r="J20" s="47"/>
      <c r="K20" s="47"/>
      <c r="L20" s="47"/>
      <c r="M20" s="47"/>
      <c r="N20" s="39"/>
    </row>
    <row r="21" spans="1:14" ht="20.100000000000001" customHeight="1">
      <c r="A21" s="46"/>
      <c r="B21" s="39"/>
      <c r="C21" s="39"/>
      <c r="D21" s="46"/>
      <c r="E21" s="46"/>
      <c r="F21" s="47"/>
      <c r="G21" s="47"/>
      <c r="H21" s="47"/>
      <c r="I21" s="47"/>
      <c r="J21" s="47"/>
      <c r="K21" s="47"/>
      <c r="L21" s="47"/>
      <c r="M21" s="47"/>
      <c r="N21" s="39"/>
    </row>
    <row r="22" spans="1:14" ht="20.100000000000001" customHeight="1">
      <c r="A22" s="46"/>
      <c r="B22" s="39"/>
      <c r="C22" s="39"/>
      <c r="D22" s="46"/>
      <c r="E22" s="46"/>
      <c r="F22" s="47"/>
      <c r="G22" s="47"/>
      <c r="H22" s="47"/>
      <c r="I22" s="47"/>
      <c r="J22" s="47"/>
      <c r="K22" s="47"/>
      <c r="L22" s="47"/>
      <c r="M22" s="47"/>
      <c r="N22" s="39"/>
    </row>
    <row r="23" spans="1:14" ht="20.100000000000001" customHeight="1">
      <c r="A23" s="46"/>
      <c r="B23" s="39"/>
      <c r="C23" s="39"/>
      <c r="D23" s="46"/>
      <c r="E23" s="46"/>
      <c r="F23" s="47"/>
      <c r="G23" s="47"/>
      <c r="H23" s="47"/>
      <c r="I23" s="47"/>
      <c r="J23" s="47"/>
      <c r="K23" s="47"/>
      <c r="L23" s="47"/>
      <c r="M23" s="47"/>
      <c r="N23" s="39"/>
    </row>
    <row r="24" spans="1:14" ht="20.100000000000001" customHeight="1">
      <c r="A24" s="46"/>
      <c r="B24" s="39"/>
      <c r="C24" s="39"/>
      <c r="D24" s="46"/>
      <c r="E24" s="46"/>
      <c r="F24" s="47"/>
      <c r="G24" s="47"/>
      <c r="H24" s="47"/>
      <c r="I24" s="47"/>
      <c r="J24" s="47"/>
      <c r="K24" s="47"/>
      <c r="L24" s="47"/>
      <c r="M24" s="47"/>
      <c r="N24" s="39"/>
    </row>
  </sheetData>
  <mergeCells count="12">
    <mergeCell ref="J3:K3"/>
    <mergeCell ref="L3:M3"/>
    <mergeCell ref="A1:N1"/>
    <mergeCell ref="A2:N2"/>
    <mergeCell ref="A3:A4"/>
    <mergeCell ref="B3:B4"/>
    <mergeCell ref="C3:C4"/>
    <mergeCell ref="D3:D4"/>
    <mergeCell ref="E3:E4"/>
    <mergeCell ref="N3:N4"/>
    <mergeCell ref="F3:G3"/>
    <mergeCell ref="H3:I3"/>
  </mergeCells>
  <phoneticPr fontId="1" type="noConversion"/>
  <conditionalFormatting sqref="A5:N24">
    <cfRule type="containsText" dxfId="3" priority="1" stopIfTrue="1" operator="containsText" text=".">
      <formula>NOT(ISERROR(SEARCH(".",A5)))</formula>
    </cfRule>
    <cfRule type="notContainsText" dxfId="2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  <rowBreaks count="1" manualBreakCount="1">
    <brk id="2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T32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L28" sqref="L28"/>
    </sheetView>
  </sheetViews>
  <sheetFormatPr defaultRowHeight="16.5"/>
  <cols>
    <col min="1" max="2" width="19.625" style="2" customWidth="1"/>
    <col min="3" max="3" width="4.625" style="3" customWidth="1"/>
    <col min="4" max="5" width="6.625" style="4" customWidth="1"/>
    <col min="6" max="6" width="9.625" style="4" customWidth="1"/>
    <col min="7" max="7" width="6.625" style="4" customWidth="1"/>
    <col min="8" max="8" width="9.625" style="4" customWidth="1"/>
    <col min="9" max="10" width="7.25" style="4" customWidth="1"/>
    <col min="11" max="11" width="6.625" style="4" customWidth="1"/>
    <col min="12" max="12" width="9.625" style="4" customWidth="1"/>
    <col min="13" max="13" width="8.625" style="2" customWidth="1"/>
    <col min="14" max="20" width="0" hidden="1" customWidth="1"/>
  </cols>
  <sheetData>
    <row r="1" spans="1:20" ht="30" customHeight="1">
      <c r="A1" s="118" t="s">
        <v>32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20" ht="20.100000000000001" customHeight="1">
      <c r="A2" s="119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20" ht="20.100000000000001" customHeight="1">
      <c r="A3" s="127" t="s">
        <v>33</v>
      </c>
      <c r="B3" s="127" t="s">
        <v>34</v>
      </c>
      <c r="C3" s="127" t="s">
        <v>9</v>
      </c>
      <c r="D3" s="127" t="s">
        <v>35</v>
      </c>
      <c r="E3" s="127" t="s">
        <v>36</v>
      </c>
      <c r="F3" s="127"/>
      <c r="G3" s="127" t="s">
        <v>37</v>
      </c>
      <c r="H3" s="127"/>
      <c r="I3" s="127" t="s">
        <v>38</v>
      </c>
      <c r="J3" s="127"/>
      <c r="K3" s="127" t="s">
        <v>39</v>
      </c>
      <c r="L3" s="127"/>
      <c r="M3" s="127" t="s">
        <v>40</v>
      </c>
    </row>
    <row r="4" spans="1:20" ht="20.100000000000001" customHeight="1">
      <c r="A4" s="127"/>
      <c r="B4" s="127"/>
      <c r="C4" s="127"/>
      <c r="D4" s="127"/>
      <c r="E4" s="5" t="s">
        <v>41</v>
      </c>
      <c r="F4" s="5" t="s">
        <v>42</v>
      </c>
      <c r="G4" s="5" t="s">
        <v>41</v>
      </c>
      <c r="H4" s="5" t="s">
        <v>42</v>
      </c>
      <c r="I4" s="5" t="s">
        <v>41</v>
      </c>
      <c r="J4" s="5" t="s">
        <v>42</v>
      </c>
      <c r="K4" s="5" t="s">
        <v>41</v>
      </c>
      <c r="L4" s="5" t="s">
        <v>42</v>
      </c>
      <c r="M4" s="127"/>
      <c r="N4" t="s">
        <v>43</v>
      </c>
      <c r="O4" t="s">
        <v>44</v>
      </c>
      <c r="P4" t="s">
        <v>45</v>
      </c>
      <c r="Q4" t="s">
        <v>46</v>
      </c>
      <c r="R4" t="s">
        <v>47</v>
      </c>
      <c r="S4" t="s">
        <v>48</v>
      </c>
      <c r="T4" t="s">
        <v>49</v>
      </c>
    </row>
    <row r="5" spans="1:20" ht="20.100000000000001" customHeight="1">
      <c r="A5" s="140" t="s">
        <v>50</v>
      </c>
      <c r="B5" s="141"/>
      <c r="C5" s="141"/>
      <c r="D5" s="142"/>
      <c r="E5" s="142"/>
      <c r="F5" s="142"/>
      <c r="G5" s="142"/>
      <c r="H5" s="142"/>
      <c r="I5" s="142"/>
      <c r="J5" s="142"/>
      <c r="K5" s="142"/>
      <c r="L5" s="143"/>
      <c r="M5" s="37" t="s">
        <v>51</v>
      </c>
    </row>
    <row r="6" spans="1:20" ht="20.100000000000001" customHeight="1">
      <c r="A6" s="38" t="s">
        <v>52</v>
      </c>
      <c r="B6" s="39"/>
      <c r="C6" s="40" t="s">
        <v>53</v>
      </c>
      <c r="D6" s="47"/>
      <c r="E6" s="47"/>
      <c r="F6" s="47">
        <f>ROUNDDOWN(D6*E6, 0)</f>
        <v>0</v>
      </c>
      <c r="G6" s="47"/>
      <c r="H6" s="47">
        <f>ROUNDDOWN(D6*G6, 0)</f>
        <v>0</v>
      </c>
      <c r="I6" s="47"/>
      <c r="J6" s="47">
        <f>ROUNDDOWN(D6*I6, 0)</f>
        <v>0</v>
      </c>
      <c r="K6" s="47">
        <f t="shared" ref="K6" si="0">E6+G6+I6</f>
        <v>0</v>
      </c>
      <c r="L6" s="47">
        <f t="shared" ref="L6" si="1">F6+H6+J6</f>
        <v>0</v>
      </c>
      <c r="M6" s="39"/>
    </row>
    <row r="7" spans="1:20" ht="20.100000000000001" customHeight="1">
      <c r="A7" s="38" t="s">
        <v>54</v>
      </c>
      <c r="B7" s="38" t="s">
        <v>55</v>
      </c>
      <c r="C7" s="40" t="s">
        <v>56</v>
      </c>
      <c r="D7" s="47"/>
      <c r="E7" s="47"/>
      <c r="F7" s="47"/>
      <c r="G7" s="47"/>
      <c r="H7" s="47"/>
      <c r="I7" s="47"/>
      <c r="J7" s="47"/>
      <c r="K7" s="47"/>
      <c r="L7" s="47"/>
      <c r="M7" s="38"/>
      <c r="O7" s="1" t="s">
        <v>58</v>
      </c>
      <c r="P7" s="1" t="s">
        <v>59</v>
      </c>
      <c r="Q7">
        <v>1</v>
      </c>
    </row>
    <row r="8" spans="1:20" ht="20.100000000000001" customHeight="1">
      <c r="A8" s="38" t="s">
        <v>60</v>
      </c>
      <c r="B8" s="38" t="s">
        <v>61</v>
      </c>
      <c r="C8" s="40" t="s">
        <v>56</v>
      </c>
      <c r="D8" s="47"/>
      <c r="E8" s="47"/>
      <c r="F8" s="47"/>
      <c r="G8" s="47"/>
      <c r="H8" s="47"/>
      <c r="I8" s="47"/>
      <c r="J8" s="47"/>
      <c r="K8" s="47"/>
      <c r="L8" s="47"/>
      <c r="M8" s="38"/>
      <c r="O8" s="1" t="s">
        <v>58</v>
      </c>
      <c r="P8" s="1" t="s">
        <v>59</v>
      </c>
      <c r="Q8">
        <v>1</v>
      </c>
    </row>
    <row r="9" spans="1:20" ht="20.100000000000001" customHeight="1">
      <c r="A9" s="40" t="s">
        <v>63</v>
      </c>
      <c r="B9" s="39"/>
      <c r="C9" s="40" t="s">
        <v>53</v>
      </c>
      <c r="D9" s="47"/>
      <c r="E9" s="47"/>
      <c r="F9" s="47"/>
      <c r="G9" s="47"/>
      <c r="H9" s="47"/>
      <c r="I9" s="47"/>
      <c r="J9" s="47"/>
      <c r="K9" s="47"/>
      <c r="L9" s="47"/>
      <c r="M9" s="39"/>
    </row>
    <row r="10" spans="1:20" ht="20.100000000000001" customHeight="1">
      <c r="A10" s="38" t="s">
        <v>64</v>
      </c>
      <c r="B10" s="39"/>
      <c r="C10" s="40" t="s">
        <v>53</v>
      </c>
      <c r="D10" s="47"/>
      <c r="E10" s="47"/>
      <c r="F10" s="47"/>
      <c r="G10" s="47"/>
      <c r="H10" s="47"/>
      <c r="I10" s="47"/>
      <c r="J10" s="47"/>
      <c r="K10" s="47"/>
      <c r="L10" s="47"/>
      <c r="M10" s="39"/>
    </row>
    <row r="11" spans="1:20" ht="20.100000000000001" customHeight="1">
      <c r="A11" s="38" t="s">
        <v>65</v>
      </c>
      <c r="B11" s="38" t="s">
        <v>66</v>
      </c>
      <c r="C11" s="40" t="s">
        <v>67</v>
      </c>
      <c r="D11" s="47"/>
      <c r="E11" s="47"/>
      <c r="F11" s="47"/>
      <c r="G11" s="47"/>
      <c r="H11" s="47"/>
      <c r="I11" s="47"/>
      <c r="J11" s="47"/>
      <c r="K11" s="47"/>
      <c r="L11" s="47"/>
      <c r="M11" s="39"/>
      <c r="O11" s="1" t="s">
        <v>0</v>
      </c>
      <c r="P11" s="1" t="s">
        <v>59</v>
      </c>
      <c r="Q11">
        <v>1</v>
      </c>
    </row>
    <row r="12" spans="1:20" ht="20.100000000000001" customHeight="1">
      <c r="A12" s="38" t="s">
        <v>68</v>
      </c>
      <c r="B12" s="39" t="str">
        <f>"주연료비의 " &amp; N12*100 &amp; "%"</f>
        <v>주연료비의 16%</v>
      </c>
      <c r="C12" s="40" t="s">
        <v>1</v>
      </c>
      <c r="D12" s="47"/>
      <c r="E12" s="47"/>
      <c r="F12" s="47"/>
      <c r="G12" s="47"/>
      <c r="H12" s="47"/>
      <c r="I12" s="47"/>
      <c r="J12" s="47"/>
      <c r="K12" s="47"/>
      <c r="L12" s="47"/>
      <c r="M12" s="38"/>
      <c r="N12">
        <v>0.16</v>
      </c>
      <c r="P12" s="1" t="s">
        <v>59</v>
      </c>
      <c r="Q12">
        <v>1</v>
      </c>
      <c r="R12" s="1" t="s">
        <v>69</v>
      </c>
      <c r="S12" s="1" t="s">
        <v>70</v>
      </c>
      <c r="T12" s="1" t="s">
        <v>71</v>
      </c>
    </row>
    <row r="13" spans="1:20" ht="20.100000000000001" customHeight="1">
      <c r="A13" s="40" t="s">
        <v>63</v>
      </c>
      <c r="B13" s="39"/>
      <c r="C13" s="40" t="s">
        <v>53</v>
      </c>
      <c r="D13" s="47"/>
      <c r="E13" s="47"/>
      <c r="F13" s="47"/>
      <c r="G13" s="47"/>
      <c r="H13" s="47"/>
      <c r="I13" s="47"/>
      <c r="J13" s="47"/>
      <c r="K13" s="47"/>
      <c r="L13" s="47"/>
      <c r="M13" s="39"/>
    </row>
    <row r="14" spans="1:20" ht="20.100000000000001" customHeight="1">
      <c r="A14" s="38" t="s">
        <v>72</v>
      </c>
      <c r="B14" s="39"/>
      <c r="C14" s="40" t="s">
        <v>53</v>
      </c>
      <c r="D14" s="47"/>
      <c r="E14" s="47"/>
      <c r="F14" s="47"/>
      <c r="G14" s="47"/>
      <c r="H14" s="47"/>
      <c r="I14" s="47"/>
      <c r="J14" s="47"/>
      <c r="K14" s="47"/>
      <c r="L14" s="47"/>
      <c r="M14" s="39"/>
    </row>
    <row r="15" spans="1:20" ht="20.100000000000001" customHeight="1">
      <c r="A15" s="38" t="s">
        <v>73</v>
      </c>
      <c r="B15" s="38" t="s">
        <v>74</v>
      </c>
      <c r="C15" s="40" t="s">
        <v>75</v>
      </c>
      <c r="D15" s="47"/>
      <c r="E15" s="47"/>
      <c r="F15" s="47"/>
      <c r="G15" s="47"/>
      <c r="H15" s="47"/>
      <c r="I15" s="47"/>
      <c r="J15" s="47"/>
      <c r="K15" s="47"/>
      <c r="L15" s="47"/>
      <c r="M15" s="39"/>
      <c r="O15" s="1" t="s">
        <v>76</v>
      </c>
      <c r="P15" s="1" t="s">
        <v>59</v>
      </c>
      <c r="Q15">
        <v>1</v>
      </c>
    </row>
    <row r="16" spans="1:20" ht="20.100000000000001" customHeight="1">
      <c r="A16" s="40" t="s">
        <v>63</v>
      </c>
      <c r="B16" s="39"/>
      <c r="C16" s="40" t="s">
        <v>53</v>
      </c>
      <c r="D16" s="47"/>
      <c r="E16" s="47"/>
      <c r="F16" s="47"/>
      <c r="G16" s="47"/>
      <c r="H16" s="47"/>
      <c r="I16" s="47"/>
      <c r="J16" s="47"/>
      <c r="K16" s="47"/>
      <c r="L16" s="47"/>
      <c r="M16" s="39"/>
    </row>
    <row r="17" spans="1:20" ht="20.100000000000001" customHeight="1">
      <c r="A17" s="42" t="s">
        <v>31</v>
      </c>
      <c r="B17" s="43"/>
      <c r="C17" s="44"/>
      <c r="D17" s="48"/>
      <c r="E17" s="48"/>
      <c r="F17" s="48">
        <f>ROUNDDOWN(SUMIF(Q6:Q16, "1", F6:F16), 0)</f>
        <v>0</v>
      </c>
      <c r="G17" s="48"/>
      <c r="H17" s="48">
        <f>ROUNDDOWN(SUMIF(Q6:Q16, "1", H6:H16), 0)</f>
        <v>0</v>
      </c>
      <c r="I17" s="48"/>
      <c r="J17" s="48">
        <f>ROUNDDOWN(SUMIF(Q6:Q16, "1", J6:J16), 0)</f>
        <v>0</v>
      </c>
      <c r="K17" s="48"/>
      <c r="L17" s="48">
        <f>F17+H17+J17</f>
        <v>0</v>
      </c>
      <c r="M17" s="43"/>
    </row>
    <row r="18" spans="1:20" ht="20.100000000000001" customHeight="1">
      <c r="A18" s="39"/>
      <c r="B18" s="39"/>
      <c r="C18" s="46"/>
      <c r="D18" s="47"/>
      <c r="E18" s="47"/>
      <c r="F18" s="47"/>
      <c r="G18" s="47"/>
      <c r="H18" s="47"/>
      <c r="I18" s="47"/>
      <c r="J18" s="47"/>
      <c r="K18" s="47"/>
      <c r="L18" s="47"/>
      <c r="M18" s="39"/>
    </row>
    <row r="19" spans="1:20" ht="20.100000000000001" customHeight="1">
      <c r="A19" s="144" t="s">
        <v>77</v>
      </c>
      <c r="B19" s="145"/>
      <c r="C19" s="145"/>
      <c r="D19" s="146"/>
      <c r="E19" s="146"/>
      <c r="F19" s="146"/>
      <c r="G19" s="146"/>
      <c r="H19" s="146"/>
      <c r="I19" s="146"/>
      <c r="J19" s="146"/>
      <c r="K19" s="146"/>
      <c r="L19" s="146"/>
      <c r="M19" s="37" t="s">
        <v>78</v>
      </c>
    </row>
    <row r="20" spans="1:20" ht="20.100000000000001" customHeight="1">
      <c r="A20" s="38" t="s">
        <v>52</v>
      </c>
      <c r="B20" s="39"/>
      <c r="C20" s="40" t="s">
        <v>53</v>
      </c>
      <c r="D20" s="47"/>
      <c r="E20" s="47"/>
      <c r="F20" s="47">
        <f>ROUNDDOWN(D20*E20, 0)</f>
        <v>0</v>
      </c>
      <c r="G20" s="47"/>
      <c r="H20" s="47">
        <f>ROUNDDOWN(D20*G20, 0)</f>
        <v>0</v>
      </c>
      <c r="I20" s="47"/>
      <c r="J20" s="47">
        <f>ROUNDDOWN(D20*I20, 0)</f>
        <v>0</v>
      </c>
      <c r="K20" s="47">
        <f t="shared" ref="K20" si="2">E20+G20+I20</f>
        <v>0</v>
      </c>
      <c r="L20" s="47">
        <f t="shared" ref="L20" si="3">F20+H20+J20</f>
        <v>0</v>
      </c>
      <c r="M20" s="39"/>
    </row>
    <row r="21" spans="1:20" ht="20.100000000000001" customHeight="1">
      <c r="A21" s="38" t="s">
        <v>54</v>
      </c>
      <c r="B21" s="38" t="s">
        <v>55</v>
      </c>
      <c r="C21" s="40" t="s">
        <v>56</v>
      </c>
      <c r="D21" s="47"/>
      <c r="E21" s="47"/>
      <c r="F21" s="47"/>
      <c r="G21" s="47"/>
      <c r="H21" s="47"/>
      <c r="I21" s="47"/>
      <c r="J21" s="47"/>
      <c r="K21" s="47"/>
      <c r="L21" s="47"/>
      <c r="M21" s="38"/>
      <c r="O21" s="1" t="s">
        <v>58</v>
      </c>
      <c r="P21" s="1" t="s">
        <v>59</v>
      </c>
      <c r="Q21">
        <v>1</v>
      </c>
    </row>
    <row r="22" spans="1:20" ht="20.100000000000001" customHeight="1">
      <c r="A22" s="40" t="s">
        <v>63</v>
      </c>
      <c r="B22" s="39"/>
      <c r="C22" s="40" t="s">
        <v>53</v>
      </c>
      <c r="D22" s="47"/>
      <c r="E22" s="47"/>
      <c r="F22" s="47"/>
      <c r="G22" s="47"/>
      <c r="H22" s="47"/>
      <c r="I22" s="47"/>
      <c r="J22" s="47"/>
      <c r="K22" s="47"/>
      <c r="L22" s="47"/>
      <c r="M22" s="39"/>
    </row>
    <row r="23" spans="1:20" ht="20.100000000000001" customHeight="1">
      <c r="A23" s="38" t="s">
        <v>64</v>
      </c>
      <c r="B23" s="39"/>
      <c r="C23" s="40" t="s">
        <v>53</v>
      </c>
      <c r="D23" s="47"/>
      <c r="E23" s="47"/>
      <c r="F23" s="47"/>
      <c r="G23" s="47"/>
      <c r="H23" s="47"/>
      <c r="I23" s="47"/>
      <c r="J23" s="47"/>
      <c r="K23" s="47"/>
      <c r="L23" s="47"/>
      <c r="M23" s="39"/>
    </row>
    <row r="24" spans="1:20" ht="20.100000000000001" customHeight="1">
      <c r="A24" s="38" t="s">
        <v>65</v>
      </c>
      <c r="B24" s="38" t="s">
        <v>66</v>
      </c>
      <c r="C24" s="40" t="s">
        <v>67</v>
      </c>
      <c r="D24" s="47"/>
      <c r="E24" s="47"/>
      <c r="F24" s="47"/>
      <c r="G24" s="47"/>
      <c r="H24" s="47"/>
      <c r="I24" s="47"/>
      <c r="J24" s="47"/>
      <c r="K24" s="47"/>
      <c r="L24" s="47"/>
      <c r="M24" s="39"/>
      <c r="O24" s="1" t="s">
        <v>0</v>
      </c>
      <c r="P24" s="1" t="s">
        <v>59</v>
      </c>
      <c r="Q24">
        <v>1</v>
      </c>
    </row>
    <row r="25" spans="1:20" ht="20.100000000000001" customHeight="1">
      <c r="A25" s="38" t="s">
        <v>68</v>
      </c>
      <c r="B25" s="39" t="str">
        <f>"주연료비의 " &amp; N25*100 &amp; "%"</f>
        <v>주연료비의 16%</v>
      </c>
      <c r="C25" s="40" t="s">
        <v>1</v>
      </c>
      <c r="D25" s="47"/>
      <c r="E25" s="47"/>
      <c r="F25" s="47"/>
      <c r="G25" s="47"/>
      <c r="H25" s="47"/>
      <c r="I25" s="47"/>
      <c r="J25" s="47"/>
      <c r="K25" s="47"/>
      <c r="L25" s="47"/>
      <c r="M25" s="39"/>
      <c r="N25">
        <v>0.16</v>
      </c>
      <c r="P25" s="1" t="s">
        <v>59</v>
      </c>
      <c r="Q25">
        <v>1</v>
      </c>
      <c r="R25" s="1" t="s">
        <v>69</v>
      </c>
      <c r="S25" s="1" t="s">
        <v>70</v>
      </c>
      <c r="T25" s="1" t="s">
        <v>71</v>
      </c>
    </row>
    <row r="26" spans="1:20" ht="20.100000000000001" customHeight="1">
      <c r="A26" s="40" t="s">
        <v>63</v>
      </c>
      <c r="B26" s="39"/>
      <c r="C26" s="40" t="s">
        <v>53</v>
      </c>
      <c r="D26" s="47"/>
      <c r="E26" s="47"/>
      <c r="F26" s="47"/>
      <c r="G26" s="47"/>
      <c r="H26" s="47"/>
      <c r="I26" s="47"/>
      <c r="J26" s="47"/>
      <c r="K26" s="47"/>
      <c r="L26" s="47"/>
      <c r="M26" s="39"/>
    </row>
    <row r="27" spans="1:20" ht="20.100000000000001" customHeight="1">
      <c r="A27" s="38" t="s">
        <v>72</v>
      </c>
      <c r="B27" s="39"/>
      <c r="C27" s="40" t="s">
        <v>53</v>
      </c>
      <c r="D27" s="47"/>
      <c r="E27" s="47"/>
      <c r="F27" s="47"/>
      <c r="G27" s="47"/>
      <c r="H27" s="47"/>
      <c r="I27" s="47"/>
      <c r="J27" s="47"/>
      <c r="K27" s="47"/>
      <c r="L27" s="47"/>
      <c r="M27" s="39"/>
    </row>
    <row r="28" spans="1:20" ht="20.100000000000001" customHeight="1">
      <c r="A28" s="38" t="s">
        <v>73</v>
      </c>
      <c r="B28" s="38" t="s">
        <v>74</v>
      </c>
      <c r="C28" s="40" t="s">
        <v>75</v>
      </c>
      <c r="D28" s="47"/>
      <c r="E28" s="47"/>
      <c r="F28" s="47"/>
      <c r="G28" s="47"/>
      <c r="H28" s="47"/>
      <c r="I28" s="47"/>
      <c r="J28" s="47"/>
      <c r="K28" s="47"/>
      <c r="L28" s="47"/>
      <c r="M28" s="39"/>
      <c r="O28" s="1" t="s">
        <v>76</v>
      </c>
      <c r="P28" s="1" t="s">
        <v>59</v>
      </c>
      <c r="Q28">
        <v>1</v>
      </c>
    </row>
    <row r="29" spans="1:20" ht="20.100000000000001" customHeight="1">
      <c r="A29" s="40" t="s">
        <v>63</v>
      </c>
      <c r="B29" s="39"/>
      <c r="C29" s="40" t="s">
        <v>53</v>
      </c>
      <c r="D29" s="47"/>
      <c r="E29" s="47"/>
      <c r="F29" s="47"/>
      <c r="G29" s="47"/>
      <c r="H29" s="47"/>
      <c r="I29" s="47"/>
      <c r="J29" s="47"/>
      <c r="K29" s="47"/>
      <c r="L29" s="47"/>
      <c r="M29" s="39"/>
    </row>
    <row r="30" spans="1:20" ht="20.100000000000001" customHeight="1">
      <c r="A30" s="42" t="s">
        <v>31</v>
      </c>
      <c r="B30" s="43"/>
      <c r="C30" s="44"/>
      <c r="D30" s="48"/>
      <c r="E30" s="48"/>
      <c r="F30" s="48">
        <f>ROUNDDOWN(SUMIF(Q20:Q29, "1", F20:F29), 0)</f>
        <v>0</v>
      </c>
      <c r="G30" s="48"/>
      <c r="H30" s="48">
        <f>ROUNDDOWN(SUMIF(Q20:Q29, "1", H20:H29), 0)</f>
        <v>0</v>
      </c>
      <c r="I30" s="48"/>
      <c r="J30" s="48">
        <f>ROUNDDOWN(SUMIF(Q20:Q29, "1", J20:J29), 0)</f>
        <v>0</v>
      </c>
      <c r="K30" s="48"/>
      <c r="L30" s="48">
        <f>F30+H30+J30</f>
        <v>0</v>
      </c>
      <c r="M30" s="43"/>
    </row>
    <row r="31" spans="1:20" ht="20.100000000000001" customHeight="1">
      <c r="A31" s="149" t="s">
        <v>79</v>
      </c>
      <c r="B31" s="150"/>
      <c r="C31" s="150"/>
      <c r="D31" s="151"/>
      <c r="E31" s="151"/>
      <c r="F31" s="151"/>
      <c r="G31" s="151"/>
      <c r="H31" s="151"/>
      <c r="I31" s="151"/>
      <c r="J31" s="151"/>
      <c r="K31" s="151"/>
      <c r="L31" s="151"/>
      <c r="M31" s="150"/>
    </row>
    <row r="32" spans="1:20" ht="20.100000000000001" customHeight="1">
      <c r="A32" s="149" t="s">
        <v>80</v>
      </c>
      <c r="B32" s="150"/>
      <c r="C32" s="150"/>
      <c r="D32" s="151"/>
      <c r="E32" s="151"/>
      <c r="F32" s="151"/>
      <c r="G32" s="151"/>
      <c r="H32" s="151"/>
      <c r="I32" s="151"/>
      <c r="J32" s="151"/>
      <c r="K32" s="151"/>
      <c r="L32" s="151"/>
      <c r="M32" s="150"/>
    </row>
    <row r="33" spans="1:13" ht="20.100000000000001" customHeight="1">
      <c r="A33" s="149" t="s">
        <v>81</v>
      </c>
      <c r="B33" s="150"/>
      <c r="C33" s="150"/>
      <c r="D33" s="151"/>
      <c r="E33" s="151"/>
      <c r="F33" s="151"/>
      <c r="G33" s="151"/>
      <c r="H33" s="151"/>
      <c r="I33" s="151"/>
      <c r="J33" s="151"/>
      <c r="K33" s="151"/>
      <c r="L33" s="151"/>
      <c r="M33" s="150"/>
    </row>
    <row r="34" spans="1:13" ht="20.100000000000001" customHeight="1">
      <c r="A34" s="149" t="s">
        <v>82</v>
      </c>
      <c r="B34" s="150"/>
      <c r="C34" s="150"/>
      <c r="D34" s="151"/>
      <c r="E34" s="151"/>
      <c r="F34" s="151"/>
      <c r="G34" s="151"/>
      <c r="H34" s="151"/>
      <c r="I34" s="151"/>
      <c r="J34" s="151"/>
      <c r="K34" s="151"/>
      <c r="L34" s="151"/>
      <c r="M34" s="150"/>
    </row>
    <row r="35" spans="1:13" ht="20.100000000000001" customHeight="1">
      <c r="A35" s="149" t="s">
        <v>83</v>
      </c>
      <c r="B35" s="150"/>
      <c r="C35" s="150"/>
      <c r="D35" s="151"/>
      <c r="E35" s="151"/>
      <c r="F35" s="151"/>
      <c r="G35" s="151"/>
      <c r="H35" s="151"/>
      <c r="I35" s="151"/>
      <c r="J35" s="151"/>
      <c r="K35" s="151"/>
      <c r="L35" s="151"/>
      <c r="M35" s="150"/>
    </row>
    <row r="36" spans="1:13" ht="20.100000000000001" customHeight="1">
      <c r="A36" s="149" t="s">
        <v>84</v>
      </c>
      <c r="B36" s="150"/>
      <c r="C36" s="150"/>
      <c r="D36" s="151"/>
      <c r="E36" s="151"/>
      <c r="F36" s="151"/>
      <c r="G36" s="151"/>
      <c r="H36" s="151"/>
      <c r="I36" s="151"/>
      <c r="J36" s="151"/>
      <c r="K36" s="151"/>
      <c r="L36" s="151"/>
      <c r="M36" s="150"/>
    </row>
    <row r="37" spans="1:13" ht="20.100000000000001" customHeight="1">
      <c r="A37" s="150"/>
      <c r="B37" s="150"/>
      <c r="C37" s="150"/>
      <c r="D37" s="151"/>
      <c r="E37" s="151"/>
      <c r="F37" s="151"/>
      <c r="G37" s="151"/>
      <c r="H37" s="151"/>
      <c r="I37" s="151"/>
      <c r="J37" s="151"/>
      <c r="K37" s="151"/>
      <c r="L37" s="151"/>
      <c r="M37" s="150"/>
    </row>
    <row r="38" spans="1:13" ht="20.100000000000001" customHeight="1">
      <c r="A38" s="149" t="s">
        <v>85</v>
      </c>
      <c r="B38" s="150"/>
      <c r="C38" s="150"/>
      <c r="D38" s="151"/>
      <c r="E38" s="151"/>
      <c r="F38" s="151"/>
      <c r="G38" s="151"/>
      <c r="H38" s="151"/>
      <c r="I38" s="151"/>
      <c r="J38" s="151"/>
      <c r="K38" s="151"/>
      <c r="L38" s="151"/>
      <c r="M38" s="150"/>
    </row>
    <row r="39" spans="1:13" ht="20.100000000000001" customHeight="1">
      <c r="A39" s="149" t="s">
        <v>86</v>
      </c>
      <c r="B39" s="150"/>
      <c r="C39" s="150"/>
      <c r="D39" s="151"/>
      <c r="E39" s="151"/>
      <c r="F39" s="151"/>
      <c r="G39" s="151"/>
      <c r="H39" s="151"/>
      <c r="I39" s="151"/>
      <c r="J39" s="151"/>
      <c r="K39" s="151"/>
      <c r="L39" s="151"/>
      <c r="M39" s="150"/>
    </row>
    <row r="40" spans="1:13" ht="20.100000000000001" customHeight="1">
      <c r="A40" s="149" t="s">
        <v>87</v>
      </c>
      <c r="B40" s="150"/>
      <c r="C40" s="150"/>
      <c r="D40" s="151"/>
      <c r="E40" s="151"/>
      <c r="F40" s="151"/>
      <c r="G40" s="151"/>
      <c r="H40" s="151"/>
      <c r="I40" s="151"/>
      <c r="J40" s="151"/>
      <c r="K40" s="151"/>
      <c r="L40" s="151"/>
      <c r="M40" s="150"/>
    </row>
    <row r="41" spans="1:13" ht="20.100000000000001" customHeight="1">
      <c r="A41" s="149" t="s">
        <v>88</v>
      </c>
      <c r="B41" s="150"/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0"/>
    </row>
    <row r="42" spans="1:13" ht="20.100000000000001" customHeight="1">
      <c r="A42" s="150"/>
      <c r="B42" s="150"/>
      <c r="C42" s="150"/>
      <c r="D42" s="151"/>
      <c r="E42" s="151"/>
      <c r="F42" s="151"/>
      <c r="G42" s="151"/>
      <c r="H42" s="151"/>
      <c r="I42" s="151"/>
      <c r="J42" s="151"/>
      <c r="K42" s="151"/>
      <c r="L42" s="151"/>
      <c r="M42" s="150"/>
    </row>
    <row r="43" spans="1:13" ht="20.100000000000001" customHeight="1">
      <c r="A43" s="149" t="s">
        <v>89</v>
      </c>
      <c r="B43" s="150"/>
      <c r="C43" s="150"/>
      <c r="D43" s="151"/>
      <c r="E43" s="151"/>
      <c r="F43" s="151"/>
      <c r="G43" s="151"/>
      <c r="H43" s="151"/>
      <c r="I43" s="151"/>
      <c r="J43" s="151"/>
      <c r="K43" s="151"/>
      <c r="L43" s="151"/>
      <c r="M43" s="150"/>
    </row>
    <row r="44" spans="1:13" ht="20.100000000000001" customHeight="1">
      <c r="A44" s="149" t="s">
        <v>90</v>
      </c>
      <c r="B44" s="150"/>
      <c r="C44" s="150"/>
      <c r="D44" s="151"/>
      <c r="E44" s="151"/>
      <c r="F44" s="151"/>
      <c r="G44" s="151"/>
      <c r="H44" s="151"/>
      <c r="I44" s="151"/>
      <c r="J44" s="151"/>
      <c r="K44" s="151"/>
      <c r="L44" s="151"/>
      <c r="M44" s="150"/>
    </row>
    <row r="45" spans="1:13" ht="20.100000000000001" customHeight="1">
      <c r="A45" s="150"/>
      <c r="B45" s="150"/>
      <c r="C45" s="150"/>
      <c r="D45" s="151"/>
      <c r="E45" s="151"/>
      <c r="F45" s="151"/>
      <c r="G45" s="151"/>
      <c r="H45" s="151"/>
      <c r="I45" s="151"/>
      <c r="J45" s="151"/>
      <c r="K45" s="151"/>
      <c r="L45" s="151"/>
      <c r="M45" s="150"/>
    </row>
    <row r="46" spans="1:13" ht="20.100000000000001" customHeight="1">
      <c r="A46" s="150"/>
      <c r="B46" s="150"/>
      <c r="C46" s="150"/>
      <c r="D46" s="151"/>
      <c r="E46" s="151"/>
      <c r="F46" s="151"/>
      <c r="G46" s="151"/>
      <c r="H46" s="151"/>
      <c r="I46" s="151"/>
      <c r="J46" s="151"/>
      <c r="K46" s="151"/>
      <c r="L46" s="151"/>
      <c r="M46" s="150"/>
    </row>
    <row r="47" spans="1:13" ht="20.100000000000001" customHeight="1">
      <c r="A47" s="149" t="s">
        <v>91</v>
      </c>
      <c r="B47" s="150"/>
      <c r="C47" s="150"/>
      <c r="D47" s="151"/>
      <c r="E47" s="151"/>
      <c r="F47" s="151"/>
      <c r="G47" s="151"/>
      <c r="H47" s="151"/>
      <c r="I47" s="151"/>
      <c r="J47" s="151"/>
      <c r="K47" s="151"/>
      <c r="L47" s="151"/>
      <c r="M47" s="150"/>
    </row>
    <row r="48" spans="1:13" ht="20.100000000000001" customHeight="1">
      <c r="A48" s="149" t="s">
        <v>92</v>
      </c>
      <c r="B48" s="150"/>
      <c r="C48" s="150"/>
      <c r="D48" s="151"/>
      <c r="E48" s="151"/>
      <c r="F48" s="151"/>
      <c r="G48" s="151"/>
      <c r="H48" s="151"/>
      <c r="I48" s="151"/>
      <c r="J48" s="151"/>
      <c r="K48" s="151"/>
      <c r="L48" s="151"/>
      <c r="M48" s="150"/>
    </row>
    <row r="49" spans="1:13" ht="20.100000000000001" customHeight="1">
      <c r="A49" s="149" t="s">
        <v>93</v>
      </c>
      <c r="B49" s="150"/>
      <c r="C49" s="150"/>
      <c r="D49" s="151"/>
      <c r="E49" s="151"/>
      <c r="F49" s="151"/>
      <c r="G49" s="151"/>
      <c r="H49" s="151"/>
      <c r="I49" s="151"/>
      <c r="J49" s="151"/>
      <c r="K49" s="151"/>
      <c r="L49" s="151"/>
      <c r="M49" s="150"/>
    </row>
    <row r="50" spans="1:13" ht="20.100000000000001" customHeight="1">
      <c r="A50" s="149" t="s">
        <v>94</v>
      </c>
      <c r="B50" s="150"/>
      <c r="C50" s="150"/>
      <c r="D50" s="151"/>
      <c r="E50" s="151"/>
      <c r="F50" s="151"/>
      <c r="G50" s="151"/>
      <c r="H50" s="151"/>
      <c r="I50" s="151"/>
      <c r="J50" s="151"/>
      <c r="K50" s="151"/>
      <c r="L50" s="151"/>
      <c r="M50" s="150"/>
    </row>
    <row r="51" spans="1:13" ht="20.100000000000001" customHeight="1">
      <c r="A51" s="149" t="s">
        <v>95</v>
      </c>
      <c r="B51" s="150"/>
      <c r="C51" s="150"/>
      <c r="D51" s="151"/>
      <c r="E51" s="151"/>
      <c r="F51" s="151"/>
      <c r="G51" s="151"/>
      <c r="H51" s="151"/>
      <c r="I51" s="151"/>
      <c r="J51" s="151"/>
      <c r="K51" s="151"/>
      <c r="L51" s="151"/>
      <c r="M51" s="150"/>
    </row>
    <row r="52" spans="1:13" ht="20.100000000000001" customHeight="1">
      <c r="A52" s="149" t="s">
        <v>96</v>
      </c>
      <c r="B52" s="150"/>
      <c r="C52" s="150"/>
      <c r="D52" s="151"/>
      <c r="E52" s="151"/>
      <c r="F52" s="151"/>
      <c r="G52" s="151"/>
      <c r="H52" s="151"/>
      <c r="I52" s="151"/>
      <c r="J52" s="151"/>
      <c r="K52" s="151"/>
      <c r="L52" s="151"/>
      <c r="M52" s="150"/>
    </row>
    <row r="53" spans="1:13" ht="20.100000000000001" customHeight="1">
      <c r="A53" s="149" t="s">
        <v>97</v>
      </c>
      <c r="B53" s="150"/>
      <c r="C53" s="150"/>
      <c r="D53" s="151"/>
      <c r="E53" s="151"/>
      <c r="F53" s="151"/>
      <c r="G53" s="151"/>
      <c r="H53" s="151"/>
      <c r="I53" s="151"/>
      <c r="J53" s="151"/>
      <c r="K53" s="151"/>
      <c r="L53" s="151"/>
      <c r="M53" s="150"/>
    </row>
    <row r="54" spans="1:13" ht="20.100000000000001" customHeight="1">
      <c r="A54" s="149" t="s">
        <v>95</v>
      </c>
      <c r="B54" s="150"/>
      <c r="C54" s="150"/>
      <c r="D54" s="151"/>
      <c r="E54" s="151"/>
      <c r="F54" s="151"/>
      <c r="G54" s="151"/>
      <c r="H54" s="151"/>
      <c r="I54" s="151"/>
      <c r="J54" s="151"/>
      <c r="K54" s="151"/>
      <c r="L54" s="151"/>
      <c r="M54" s="150"/>
    </row>
    <row r="55" spans="1:13" ht="20.100000000000001" customHeight="1">
      <c r="A55" s="149" t="s">
        <v>98</v>
      </c>
      <c r="B55" s="150"/>
      <c r="C55" s="150"/>
      <c r="D55" s="151"/>
      <c r="E55" s="151"/>
      <c r="F55" s="151"/>
      <c r="G55" s="151"/>
      <c r="H55" s="151"/>
      <c r="I55" s="151"/>
      <c r="J55" s="151"/>
      <c r="K55" s="151"/>
      <c r="L55" s="151"/>
      <c r="M55" s="150"/>
    </row>
    <row r="56" spans="1:13" ht="20.100000000000001" customHeight="1">
      <c r="A56" s="149" t="s">
        <v>99</v>
      </c>
      <c r="B56" s="150"/>
      <c r="C56" s="150"/>
      <c r="D56" s="151"/>
      <c r="E56" s="151"/>
      <c r="F56" s="151"/>
      <c r="G56" s="151"/>
      <c r="H56" s="151"/>
      <c r="I56" s="151"/>
      <c r="J56" s="151"/>
      <c r="K56" s="151"/>
      <c r="L56" s="151"/>
      <c r="M56" s="150"/>
    </row>
    <row r="57" spans="1:13" ht="20.100000000000001" customHeight="1">
      <c r="A57" s="149" t="s">
        <v>100</v>
      </c>
      <c r="B57" s="150"/>
      <c r="C57" s="150"/>
      <c r="D57" s="151"/>
      <c r="E57" s="151"/>
      <c r="F57" s="151"/>
      <c r="G57" s="151"/>
      <c r="H57" s="151"/>
      <c r="I57" s="151"/>
      <c r="J57" s="151"/>
      <c r="K57" s="151"/>
      <c r="L57" s="151"/>
      <c r="M57" s="150"/>
    </row>
    <row r="58" spans="1:13" ht="20.100000000000001" customHeight="1">
      <c r="A58" s="149" t="s">
        <v>95</v>
      </c>
      <c r="B58" s="150"/>
      <c r="C58" s="150"/>
      <c r="D58" s="151"/>
      <c r="E58" s="151"/>
      <c r="F58" s="151"/>
      <c r="G58" s="151"/>
      <c r="H58" s="151"/>
      <c r="I58" s="151"/>
      <c r="J58" s="151"/>
      <c r="K58" s="151"/>
      <c r="L58" s="151"/>
      <c r="M58" s="150"/>
    </row>
    <row r="59" spans="1:13" ht="20.100000000000001" customHeight="1">
      <c r="A59" s="149" t="s">
        <v>101</v>
      </c>
      <c r="B59" s="150"/>
      <c r="C59" s="150"/>
      <c r="D59" s="151"/>
      <c r="E59" s="151"/>
      <c r="F59" s="151"/>
      <c r="G59" s="151"/>
      <c r="H59" s="151"/>
      <c r="I59" s="151"/>
      <c r="J59" s="151"/>
      <c r="K59" s="151"/>
      <c r="L59" s="151"/>
      <c r="M59" s="150"/>
    </row>
    <row r="60" spans="1:13" ht="20.100000000000001" customHeight="1">
      <c r="A60" s="149" t="s">
        <v>102</v>
      </c>
      <c r="B60" s="150"/>
      <c r="C60" s="150"/>
      <c r="D60" s="151"/>
      <c r="E60" s="151"/>
      <c r="F60" s="151"/>
      <c r="G60" s="151"/>
      <c r="H60" s="151"/>
      <c r="I60" s="151"/>
      <c r="J60" s="151"/>
      <c r="K60" s="151"/>
      <c r="L60" s="151"/>
      <c r="M60" s="150"/>
    </row>
    <row r="61" spans="1:13" ht="20.100000000000001" customHeight="1">
      <c r="A61" s="149" t="s">
        <v>103</v>
      </c>
      <c r="B61" s="150"/>
      <c r="C61" s="150"/>
      <c r="D61" s="151"/>
      <c r="E61" s="151"/>
      <c r="F61" s="151"/>
      <c r="G61" s="151"/>
      <c r="H61" s="151"/>
      <c r="I61" s="151"/>
      <c r="J61" s="151"/>
      <c r="K61" s="151"/>
      <c r="L61" s="151"/>
      <c r="M61" s="150"/>
    </row>
    <row r="62" spans="1:13" ht="20.100000000000001" customHeight="1">
      <c r="A62" s="39"/>
      <c r="B62" s="39"/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39"/>
    </row>
    <row r="63" spans="1:13" ht="20.100000000000001" customHeight="1">
      <c r="A63" s="144" t="s">
        <v>104</v>
      </c>
      <c r="B63" s="145"/>
      <c r="C63" s="145"/>
      <c r="D63" s="146"/>
      <c r="E63" s="146"/>
      <c r="F63" s="146"/>
      <c r="G63" s="146"/>
      <c r="H63" s="146"/>
      <c r="I63" s="146"/>
      <c r="J63" s="146"/>
      <c r="K63" s="146"/>
      <c r="L63" s="146"/>
      <c r="M63" s="37" t="s">
        <v>78</v>
      </c>
    </row>
    <row r="64" spans="1:13" ht="20.100000000000001" customHeight="1">
      <c r="A64" s="38" t="s">
        <v>52</v>
      </c>
      <c r="B64" s="39"/>
      <c r="C64" s="40" t="s">
        <v>53</v>
      </c>
      <c r="D64" s="47"/>
      <c r="E64" s="47"/>
      <c r="F64" s="47">
        <f>ROUNDDOWN(D64*E64, 0)</f>
        <v>0</v>
      </c>
      <c r="G64" s="47"/>
      <c r="H64" s="47">
        <f>ROUNDDOWN(D64*G64, 0)</f>
        <v>0</v>
      </c>
      <c r="I64" s="47"/>
      <c r="J64" s="47">
        <f>ROUNDDOWN(D64*I64, 0)</f>
        <v>0</v>
      </c>
      <c r="K64" s="47">
        <f t="shared" ref="K64" si="4">E64+G64+I64</f>
        <v>0</v>
      </c>
      <c r="L64" s="47">
        <f t="shared" ref="L64" si="5">F64+H64+J64</f>
        <v>0</v>
      </c>
      <c r="M64" s="39"/>
    </row>
    <row r="65" spans="1:20" ht="20.100000000000001" customHeight="1">
      <c r="A65" s="38" t="s">
        <v>105</v>
      </c>
      <c r="B65" s="38" t="s">
        <v>55</v>
      </c>
      <c r="C65" s="40" t="s">
        <v>56</v>
      </c>
      <c r="D65" s="47"/>
      <c r="E65" s="47"/>
      <c r="F65" s="47"/>
      <c r="G65" s="47"/>
      <c r="H65" s="47"/>
      <c r="I65" s="47"/>
      <c r="J65" s="47"/>
      <c r="K65" s="47"/>
      <c r="L65" s="47"/>
      <c r="M65" s="38"/>
      <c r="O65" s="1" t="s">
        <v>58</v>
      </c>
      <c r="P65" s="1" t="s">
        <v>59</v>
      </c>
      <c r="Q65">
        <v>1</v>
      </c>
    </row>
    <row r="66" spans="1:20" ht="20.100000000000001" customHeight="1">
      <c r="A66" s="40" t="s">
        <v>63</v>
      </c>
      <c r="B66" s="39"/>
      <c r="C66" s="40" t="s">
        <v>53</v>
      </c>
      <c r="D66" s="47"/>
      <c r="E66" s="47"/>
      <c r="F66" s="47"/>
      <c r="G66" s="47"/>
      <c r="H66" s="47"/>
      <c r="I66" s="47"/>
      <c r="J66" s="47"/>
      <c r="K66" s="47"/>
      <c r="L66" s="47"/>
      <c r="M66" s="39"/>
    </row>
    <row r="67" spans="1:20" ht="20.100000000000001" customHeight="1">
      <c r="A67" s="38" t="s">
        <v>64</v>
      </c>
      <c r="B67" s="39"/>
      <c r="C67" s="40" t="s">
        <v>53</v>
      </c>
      <c r="D67" s="47"/>
      <c r="E67" s="47"/>
      <c r="F67" s="47"/>
      <c r="G67" s="47"/>
      <c r="H67" s="47"/>
      <c r="I67" s="47"/>
      <c r="J67" s="47"/>
      <c r="K67" s="47"/>
      <c r="L67" s="47"/>
      <c r="M67" s="39"/>
    </row>
    <row r="68" spans="1:20" ht="20.100000000000001" customHeight="1">
      <c r="A68" s="38" t="s">
        <v>65</v>
      </c>
      <c r="B68" s="38" t="s">
        <v>66</v>
      </c>
      <c r="C68" s="40" t="s">
        <v>67</v>
      </c>
      <c r="D68" s="47"/>
      <c r="E68" s="47"/>
      <c r="F68" s="47"/>
      <c r="G68" s="47"/>
      <c r="H68" s="47"/>
      <c r="I68" s="47"/>
      <c r="J68" s="47"/>
      <c r="K68" s="47"/>
      <c r="L68" s="47"/>
      <c r="M68" s="39"/>
      <c r="O68" s="1" t="s">
        <v>0</v>
      </c>
      <c r="P68" s="1" t="s">
        <v>59</v>
      </c>
      <c r="Q68">
        <v>1</v>
      </c>
    </row>
    <row r="69" spans="1:20" ht="20.100000000000001" customHeight="1">
      <c r="A69" s="38" t="s">
        <v>68</v>
      </c>
      <c r="B69" s="39" t="str">
        <f>"주연료비의 " &amp; N69*100 &amp; "%"</f>
        <v>주연료비의 22%</v>
      </c>
      <c r="C69" s="40" t="s">
        <v>1</v>
      </c>
      <c r="D69" s="47"/>
      <c r="E69" s="47"/>
      <c r="F69" s="47"/>
      <c r="G69" s="47"/>
      <c r="H69" s="47"/>
      <c r="I69" s="47"/>
      <c r="J69" s="47"/>
      <c r="K69" s="47"/>
      <c r="L69" s="47"/>
      <c r="M69" s="39"/>
      <c r="N69">
        <v>0.22</v>
      </c>
      <c r="P69" s="1" t="s">
        <v>59</v>
      </c>
      <c r="Q69">
        <v>1</v>
      </c>
      <c r="R69" s="1" t="s">
        <v>69</v>
      </c>
      <c r="S69" s="1" t="s">
        <v>70</v>
      </c>
      <c r="T69" s="1" t="s">
        <v>71</v>
      </c>
    </row>
    <row r="70" spans="1:20" ht="20.100000000000001" customHeight="1">
      <c r="A70" s="40" t="s">
        <v>63</v>
      </c>
      <c r="B70" s="39"/>
      <c r="C70" s="40" t="s">
        <v>53</v>
      </c>
      <c r="D70" s="47"/>
      <c r="E70" s="47"/>
      <c r="F70" s="47"/>
      <c r="G70" s="47"/>
      <c r="H70" s="47"/>
      <c r="I70" s="47"/>
      <c r="J70" s="47"/>
      <c r="K70" s="47"/>
      <c r="L70" s="47"/>
      <c r="M70" s="39"/>
    </row>
    <row r="71" spans="1:20" ht="20.100000000000001" customHeight="1">
      <c r="A71" s="38" t="s">
        <v>72</v>
      </c>
      <c r="B71" s="39"/>
      <c r="C71" s="40" t="s">
        <v>53</v>
      </c>
      <c r="D71" s="47"/>
      <c r="E71" s="47"/>
      <c r="F71" s="47"/>
      <c r="G71" s="47"/>
      <c r="H71" s="47"/>
      <c r="I71" s="47"/>
      <c r="J71" s="47"/>
      <c r="K71" s="47"/>
      <c r="L71" s="47"/>
      <c r="M71" s="39"/>
    </row>
    <row r="72" spans="1:20" ht="20.100000000000001" customHeight="1">
      <c r="A72" s="38" t="s">
        <v>73</v>
      </c>
      <c r="B72" s="38" t="s">
        <v>74</v>
      </c>
      <c r="C72" s="40" t="s">
        <v>75</v>
      </c>
      <c r="D72" s="47"/>
      <c r="E72" s="47"/>
      <c r="F72" s="47"/>
      <c r="G72" s="47"/>
      <c r="H72" s="47"/>
      <c r="I72" s="47"/>
      <c r="J72" s="47"/>
      <c r="K72" s="47"/>
      <c r="L72" s="47"/>
      <c r="M72" s="39"/>
      <c r="O72" s="1" t="s">
        <v>76</v>
      </c>
      <c r="P72" s="1" t="s">
        <v>59</v>
      </c>
      <c r="Q72">
        <v>1</v>
      </c>
    </row>
    <row r="73" spans="1:20" ht="20.100000000000001" customHeight="1">
      <c r="A73" s="40" t="s">
        <v>63</v>
      </c>
      <c r="B73" s="39"/>
      <c r="C73" s="40" t="s">
        <v>53</v>
      </c>
      <c r="D73" s="47"/>
      <c r="E73" s="47"/>
      <c r="F73" s="47"/>
      <c r="G73" s="47"/>
      <c r="H73" s="47"/>
      <c r="I73" s="47"/>
      <c r="J73" s="47"/>
      <c r="K73" s="47"/>
      <c r="L73" s="47"/>
      <c r="M73" s="39"/>
    </row>
    <row r="74" spans="1:20" ht="20.100000000000001" customHeight="1">
      <c r="A74" s="42" t="s">
        <v>31</v>
      </c>
      <c r="B74" s="43"/>
      <c r="C74" s="44"/>
      <c r="D74" s="48"/>
      <c r="E74" s="48"/>
      <c r="F74" s="48">
        <f>ROUNDDOWN(SUMIF(Q64:Q73, "1", F64:F73), 0)</f>
        <v>0</v>
      </c>
      <c r="G74" s="48"/>
      <c r="H74" s="48">
        <f>ROUNDDOWN(SUMIF(Q64:Q73, "1", H64:H73), 0)</f>
        <v>0</v>
      </c>
      <c r="I74" s="48"/>
      <c r="J74" s="48">
        <f>ROUNDDOWN(SUMIF(Q64:Q73, "1", J64:J73), 0)</f>
        <v>0</v>
      </c>
      <c r="K74" s="48"/>
      <c r="L74" s="48">
        <f>F74+H74+J74</f>
        <v>0</v>
      </c>
      <c r="M74" s="43"/>
    </row>
    <row r="75" spans="1:20" ht="20.100000000000001" customHeight="1">
      <c r="A75" s="149" t="s">
        <v>79</v>
      </c>
      <c r="B75" s="150"/>
      <c r="C75" s="150"/>
      <c r="D75" s="151"/>
      <c r="E75" s="151"/>
      <c r="F75" s="151"/>
      <c r="G75" s="151"/>
      <c r="H75" s="151"/>
      <c r="I75" s="151"/>
      <c r="J75" s="151"/>
      <c r="K75" s="151"/>
      <c r="L75" s="151"/>
      <c r="M75" s="150"/>
    </row>
    <row r="76" spans="1:20" ht="20.100000000000001" customHeight="1">
      <c r="A76" s="149" t="s">
        <v>80</v>
      </c>
      <c r="B76" s="150"/>
      <c r="C76" s="150"/>
      <c r="D76" s="151"/>
      <c r="E76" s="151"/>
      <c r="F76" s="151"/>
      <c r="G76" s="151"/>
      <c r="H76" s="151"/>
      <c r="I76" s="151"/>
      <c r="J76" s="151"/>
      <c r="K76" s="151"/>
      <c r="L76" s="151"/>
      <c r="M76" s="150"/>
    </row>
    <row r="77" spans="1:20" ht="20.100000000000001" customHeight="1">
      <c r="A77" s="149" t="s">
        <v>81</v>
      </c>
      <c r="B77" s="150"/>
      <c r="C77" s="150"/>
      <c r="D77" s="151"/>
      <c r="E77" s="151"/>
      <c r="F77" s="151"/>
      <c r="G77" s="151"/>
      <c r="H77" s="151"/>
      <c r="I77" s="151"/>
      <c r="J77" s="151"/>
      <c r="K77" s="151"/>
      <c r="L77" s="151"/>
      <c r="M77" s="150"/>
    </row>
    <row r="78" spans="1:20" ht="20.100000000000001" customHeight="1">
      <c r="A78" s="149" t="s">
        <v>82</v>
      </c>
      <c r="B78" s="150"/>
      <c r="C78" s="150"/>
      <c r="D78" s="151"/>
      <c r="E78" s="151"/>
      <c r="F78" s="151"/>
      <c r="G78" s="151"/>
      <c r="H78" s="151"/>
      <c r="I78" s="151"/>
      <c r="J78" s="151"/>
      <c r="K78" s="151"/>
      <c r="L78" s="151"/>
      <c r="M78" s="150"/>
    </row>
    <row r="79" spans="1:20" ht="20.100000000000001" customHeight="1">
      <c r="A79" s="149" t="s">
        <v>83</v>
      </c>
      <c r="B79" s="150"/>
      <c r="C79" s="150"/>
      <c r="D79" s="151"/>
      <c r="E79" s="151"/>
      <c r="F79" s="151"/>
      <c r="G79" s="151"/>
      <c r="H79" s="151"/>
      <c r="I79" s="151"/>
      <c r="J79" s="151"/>
      <c r="K79" s="151"/>
      <c r="L79" s="151"/>
      <c r="M79" s="150"/>
    </row>
    <row r="80" spans="1:20" ht="20.100000000000001" customHeight="1">
      <c r="A80" s="149" t="s">
        <v>106</v>
      </c>
      <c r="B80" s="150"/>
      <c r="C80" s="150"/>
      <c r="D80" s="151"/>
      <c r="E80" s="151"/>
      <c r="F80" s="151"/>
      <c r="G80" s="151"/>
      <c r="H80" s="151"/>
      <c r="I80" s="151"/>
      <c r="J80" s="151"/>
      <c r="K80" s="151"/>
      <c r="L80" s="151"/>
      <c r="M80" s="150"/>
    </row>
    <row r="81" spans="1:13" ht="20.100000000000001" customHeight="1">
      <c r="A81" s="150"/>
      <c r="B81" s="150"/>
      <c r="C81" s="150"/>
      <c r="D81" s="151"/>
      <c r="E81" s="151"/>
      <c r="F81" s="151"/>
      <c r="G81" s="151"/>
      <c r="H81" s="151"/>
      <c r="I81" s="151"/>
      <c r="J81" s="151"/>
      <c r="K81" s="151"/>
      <c r="L81" s="151"/>
      <c r="M81" s="150"/>
    </row>
    <row r="82" spans="1:13" ht="20.100000000000001" customHeight="1">
      <c r="A82" s="149" t="s">
        <v>85</v>
      </c>
      <c r="B82" s="150"/>
      <c r="C82" s="150"/>
      <c r="D82" s="151"/>
      <c r="E82" s="151"/>
      <c r="F82" s="151"/>
      <c r="G82" s="151"/>
      <c r="H82" s="151"/>
      <c r="I82" s="151"/>
      <c r="J82" s="151"/>
      <c r="K82" s="151"/>
      <c r="L82" s="151"/>
      <c r="M82" s="150"/>
    </row>
    <row r="83" spans="1:13" ht="20.100000000000001" customHeight="1">
      <c r="A83" s="149" t="s">
        <v>86</v>
      </c>
      <c r="B83" s="150"/>
      <c r="C83" s="150"/>
      <c r="D83" s="151"/>
      <c r="E83" s="151"/>
      <c r="F83" s="151"/>
      <c r="G83" s="151"/>
      <c r="H83" s="151"/>
      <c r="I83" s="151"/>
      <c r="J83" s="151"/>
      <c r="K83" s="151"/>
      <c r="L83" s="151"/>
      <c r="M83" s="150"/>
    </row>
    <row r="84" spans="1:13" ht="20.100000000000001" customHeight="1">
      <c r="A84" s="149" t="s">
        <v>87</v>
      </c>
      <c r="B84" s="150"/>
      <c r="C84" s="150"/>
      <c r="D84" s="151"/>
      <c r="E84" s="151"/>
      <c r="F84" s="151"/>
      <c r="G84" s="151"/>
      <c r="H84" s="151"/>
      <c r="I84" s="151"/>
      <c r="J84" s="151"/>
      <c r="K84" s="151"/>
      <c r="L84" s="151"/>
      <c r="M84" s="150"/>
    </row>
    <row r="85" spans="1:13" ht="20.100000000000001" customHeight="1">
      <c r="A85" s="149" t="s">
        <v>107</v>
      </c>
      <c r="B85" s="150"/>
      <c r="C85" s="150"/>
      <c r="D85" s="151"/>
      <c r="E85" s="151"/>
      <c r="F85" s="151"/>
      <c r="G85" s="151"/>
      <c r="H85" s="151"/>
      <c r="I85" s="151"/>
      <c r="J85" s="151"/>
      <c r="K85" s="151"/>
      <c r="L85" s="151"/>
      <c r="M85" s="150"/>
    </row>
    <row r="86" spans="1:13" ht="20.100000000000001" customHeight="1">
      <c r="A86" s="150"/>
      <c r="B86" s="150"/>
      <c r="C86" s="150"/>
      <c r="D86" s="151"/>
      <c r="E86" s="151"/>
      <c r="F86" s="151"/>
      <c r="G86" s="151"/>
      <c r="H86" s="151"/>
      <c r="I86" s="151"/>
      <c r="J86" s="151"/>
      <c r="K86" s="151"/>
      <c r="L86" s="151"/>
      <c r="M86" s="150"/>
    </row>
    <row r="87" spans="1:13" ht="20.100000000000001" customHeight="1">
      <c r="A87" s="149" t="s">
        <v>89</v>
      </c>
      <c r="B87" s="150"/>
      <c r="C87" s="150"/>
      <c r="D87" s="151"/>
      <c r="E87" s="151"/>
      <c r="F87" s="151"/>
      <c r="G87" s="151"/>
      <c r="H87" s="151"/>
      <c r="I87" s="151"/>
      <c r="J87" s="151"/>
      <c r="K87" s="151"/>
      <c r="L87" s="151"/>
      <c r="M87" s="150"/>
    </row>
    <row r="88" spans="1:13" ht="20.100000000000001" customHeight="1">
      <c r="A88" s="149" t="s">
        <v>108</v>
      </c>
      <c r="B88" s="150"/>
      <c r="C88" s="150"/>
      <c r="D88" s="151"/>
      <c r="E88" s="151"/>
      <c r="F88" s="151"/>
      <c r="G88" s="151"/>
      <c r="H88" s="151"/>
      <c r="I88" s="151"/>
      <c r="J88" s="151"/>
      <c r="K88" s="151"/>
      <c r="L88" s="151"/>
      <c r="M88" s="150"/>
    </row>
    <row r="89" spans="1:13" ht="20.100000000000001" customHeight="1">
      <c r="A89" s="150"/>
      <c r="B89" s="150"/>
      <c r="C89" s="150"/>
      <c r="D89" s="151"/>
      <c r="E89" s="151"/>
      <c r="F89" s="151"/>
      <c r="G89" s="151"/>
      <c r="H89" s="151"/>
      <c r="I89" s="151"/>
      <c r="J89" s="151"/>
      <c r="K89" s="151"/>
      <c r="L89" s="151"/>
      <c r="M89" s="150"/>
    </row>
    <row r="90" spans="1:13" ht="20.100000000000001" customHeight="1">
      <c r="A90" s="150"/>
      <c r="B90" s="150"/>
      <c r="C90" s="150"/>
      <c r="D90" s="151"/>
      <c r="E90" s="151"/>
      <c r="F90" s="151"/>
      <c r="G90" s="151"/>
      <c r="H90" s="151"/>
      <c r="I90" s="151"/>
      <c r="J90" s="151"/>
      <c r="K90" s="151"/>
      <c r="L90" s="151"/>
      <c r="M90" s="150"/>
    </row>
    <row r="91" spans="1:13" ht="20.100000000000001" customHeight="1">
      <c r="A91" s="149" t="s">
        <v>91</v>
      </c>
      <c r="B91" s="150"/>
      <c r="C91" s="150"/>
      <c r="D91" s="151"/>
      <c r="E91" s="151"/>
      <c r="F91" s="151"/>
      <c r="G91" s="151"/>
      <c r="H91" s="151"/>
      <c r="I91" s="151"/>
      <c r="J91" s="151"/>
      <c r="K91" s="151"/>
      <c r="L91" s="151"/>
      <c r="M91" s="150"/>
    </row>
    <row r="92" spans="1:13" ht="20.100000000000001" customHeight="1">
      <c r="A92" s="149" t="s">
        <v>92</v>
      </c>
      <c r="B92" s="150"/>
      <c r="C92" s="150"/>
      <c r="D92" s="151"/>
      <c r="E92" s="151"/>
      <c r="F92" s="151"/>
      <c r="G92" s="151"/>
      <c r="H92" s="151"/>
      <c r="I92" s="151"/>
      <c r="J92" s="151"/>
      <c r="K92" s="151"/>
      <c r="L92" s="151"/>
      <c r="M92" s="150"/>
    </row>
    <row r="93" spans="1:13" ht="20.100000000000001" customHeight="1">
      <c r="A93" s="149" t="s">
        <v>93</v>
      </c>
      <c r="B93" s="150"/>
      <c r="C93" s="150"/>
      <c r="D93" s="151"/>
      <c r="E93" s="151"/>
      <c r="F93" s="151"/>
      <c r="G93" s="151"/>
      <c r="H93" s="151"/>
      <c r="I93" s="151"/>
      <c r="J93" s="151"/>
      <c r="K93" s="151"/>
      <c r="L93" s="151"/>
      <c r="M93" s="150"/>
    </row>
    <row r="94" spans="1:13" ht="20.100000000000001" customHeight="1">
      <c r="A94" s="149" t="s">
        <v>94</v>
      </c>
      <c r="B94" s="150"/>
      <c r="C94" s="150"/>
      <c r="D94" s="151"/>
      <c r="E94" s="151"/>
      <c r="F94" s="151"/>
      <c r="G94" s="151"/>
      <c r="H94" s="151"/>
      <c r="I94" s="151"/>
      <c r="J94" s="151"/>
      <c r="K94" s="151"/>
      <c r="L94" s="151"/>
      <c r="M94" s="150"/>
    </row>
    <row r="95" spans="1:13" ht="20.100000000000001" customHeight="1">
      <c r="A95" s="149" t="s">
        <v>95</v>
      </c>
      <c r="B95" s="150"/>
      <c r="C95" s="150"/>
      <c r="D95" s="151"/>
      <c r="E95" s="151"/>
      <c r="F95" s="151"/>
      <c r="G95" s="151"/>
      <c r="H95" s="151"/>
      <c r="I95" s="151"/>
      <c r="J95" s="151"/>
      <c r="K95" s="151"/>
      <c r="L95" s="151"/>
      <c r="M95" s="150"/>
    </row>
    <row r="96" spans="1:13" ht="20.100000000000001" customHeight="1">
      <c r="A96" s="149" t="s">
        <v>96</v>
      </c>
      <c r="B96" s="150"/>
      <c r="C96" s="150"/>
      <c r="D96" s="151"/>
      <c r="E96" s="151"/>
      <c r="F96" s="151"/>
      <c r="G96" s="151"/>
      <c r="H96" s="151"/>
      <c r="I96" s="151"/>
      <c r="J96" s="151"/>
      <c r="K96" s="151"/>
      <c r="L96" s="151"/>
      <c r="M96" s="150"/>
    </row>
    <row r="97" spans="1:17" ht="20.100000000000001" customHeight="1">
      <c r="A97" s="149" t="s">
        <v>97</v>
      </c>
      <c r="B97" s="150"/>
      <c r="C97" s="150"/>
      <c r="D97" s="151"/>
      <c r="E97" s="151"/>
      <c r="F97" s="151"/>
      <c r="G97" s="151"/>
      <c r="H97" s="151"/>
      <c r="I97" s="151"/>
      <c r="J97" s="151"/>
      <c r="K97" s="151"/>
      <c r="L97" s="151"/>
      <c r="M97" s="150"/>
    </row>
    <row r="98" spans="1:17" ht="20.100000000000001" customHeight="1">
      <c r="A98" s="149" t="s">
        <v>95</v>
      </c>
      <c r="B98" s="150"/>
      <c r="C98" s="150"/>
      <c r="D98" s="151"/>
      <c r="E98" s="151"/>
      <c r="F98" s="151"/>
      <c r="G98" s="151"/>
      <c r="H98" s="151"/>
      <c r="I98" s="151"/>
      <c r="J98" s="151"/>
      <c r="K98" s="151"/>
      <c r="L98" s="151"/>
      <c r="M98" s="150"/>
    </row>
    <row r="99" spans="1:17" ht="20.100000000000001" customHeight="1">
      <c r="A99" s="149" t="s">
        <v>98</v>
      </c>
      <c r="B99" s="150"/>
      <c r="C99" s="150"/>
      <c r="D99" s="151"/>
      <c r="E99" s="151"/>
      <c r="F99" s="151"/>
      <c r="G99" s="151"/>
      <c r="H99" s="151"/>
      <c r="I99" s="151"/>
      <c r="J99" s="151"/>
      <c r="K99" s="151"/>
      <c r="L99" s="151"/>
      <c r="M99" s="150"/>
    </row>
    <row r="100" spans="1:17" ht="20.100000000000001" customHeight="1">
      <c r="A100" s="149" t="s">
        <v>99</v>
      </c>
      <c r="B100" s="150"/>
      <c r="C100" s="150"/>
      <c r="D100" s="151"/>
      <c r="E100" s="151"/>
      <c r="F100" s="151"/>
      <c r="G100" s="151"/>
      <c r="H100" s="151"/>
      <c r="I100" s="151"/>
      <c r="J100" s="151"/>
      <c r="K100" s="151"/>
      <c r="L100" s="151"/>
      <c r="M100" s="150"/>
    </row>
    <row r="101" spans="1:17" ht="20.100000000000001" customHeight="1">
      <c r="A101" s="149" t="s">
        <v>100</v>
      </c>
      <c r="B101" s="150"/>
      <c r="C101" s="150"/>
      <c r="D101" s="151"/>
      <c r="E101" s="151"/>
      <c r="F101" s="151"/>
      <c r="G101" s="151"/>
      <c r="H101" s="151"/>
      <c r="I101" s="151"/>
      <c r="J101" s="151"/>
      <c r="K101" s="151"/>
      <c r="L101" s="151"/>
      <c r="M101" s="150"/>
    </row>
    <row r="102" spans="1:17" ht="20.100000000000001" customHeight="1">
      <c r="A102" s="149" t="s">
        <v>95</v>
      </c>
      <c r="B102" s="150"/>
      <c r="C102" s="150"/>
      <c r="D102" s="151"/>
      <c r="E102" s="151"/>
      <c r="F102" s="151"/>
      <c r="G102" s="151"/>
      <c r="H102" s="151"/>
      <c r="I102" s="151"/>
      <c r="J102" s="151"/>
      <c r="K102" s="151"/>
      <c r="L102" s="151"/>
      <c r="M102" s="150"/>
    </row>
    <row r="103" spans="1:17" ht="20.100000000000001" customHeight="1">
      <c r="A103" s="149" t="s">
        <v>101</v>
      </c>
      <c r="B103" s="150"/>
      <c r="C103" s="150"/>
      <c r="D103" s="151"/>
      <c r="E103" s="151"/>
      <c r="F103" s="151"/>
      <c r="G103" s="151"/>
      <c r="H103" s="151"/>
      <c r="I103" s="151"/>
      <c r="J103" s="151"/>
      <c r="K103" s="151"/>
      <c r="L103" s="151"/>
      <c r="M103" s="150"/>
    </row>
    <row r="104" spans="1:17" ht="20.100000000000001" customHeight="1">
      <c r="A104" s="149" t="s">
        <v>102</v>
      </c>
      <c r="B104" s="150"/>
      <c r="C104" s="150"/>
      <c r="D104" s="151"/>
      <c r="E104" s="151"/>
      <c r="F104" s="151"/>
      <c r="G104" s="151"/>
      <c r="H104" s="151"/>
      <c r="I104" s="151"/>
      <c r="J104" s="151"/>
      <c r="K104" s="151"/>
      <c r="L104" s="151"/>
      <c r="M104" s="150"/>
    </row>
    <row r="105" spans="1:17" ht="20.100000000000001" customHeight="1">
      <c r="A105" s="149" t="s">
        <v>103</v>
      </c>
      <c r="B105" s="150"/>
      <c r="C105" s="150"/>
      <c r="D105" s="151"/>
      <c r="E105" s="151"/>
      <c r="F105" s="151"/>
      <c r="G105" s="151"/>
      <c r="H105" s="151"/>
      <c r="I105" s="151"/>
      <c r="J105" s="151"/>
      <c r="K105" s="151"/>
      <c r="L105" s="151"/>
      <c r="M105" s="150"/>
    </row>
    <row r="106" spans="1:17" ht="20.100000000000001" customHeight="1">
      <c r="A106" s="39"/>
      <c r="B106" s="39"/>
      <c r="C106" s="46"/>
      <c r="D106" s="47"/>
      <c r="E106" s="47"/>
      <c r="F106" s="47"/>
      <c r="G106" s="47"/>
      <c r="H106" s="47"/>
      <c r="I106" s="47"/>
      <c r="J106" s="47"/>
      <c r="K106" s="47"/>
      <c r="L106" s="47"/>
      <c r="M106" s="39"/>
    </row>
    <row r="107" spans="1:17" ht="20.100000000000001" customHeight="1">
      <c r="A107" s="144" t="s">
        <v>109</v>
      </c>
      <c r="B107" s="145"/>
      <c r="C107" s="145"/>
      <c r="D107" s="146"/>
      <c r="E107" s="146"/>
      <c r="F107" s="146"/>
      <c r="G107" s="146"/>
      <c r="H107" s="146"/>
      <c r="I107" s="146"/>
      <c r="J107" s="146"/>
      <c r="K107" s="146"/>
      <c r="L107" s="146"/>
      <c r="M107" s="37" t="s">
        <v>110</v>
      </c>
    </row>
    <row r="108" spans="1:17" ht="20.100000000000001" customHeight="1">
      <c r="A108" s="38" t="s">
        <v>52</v>
      </c>
      <c r="B108" s="39"/>
      <c r="C108" s="40" t="s">
        <v>53</v>
      </c>
      <c r="D108" s="47"/>
      <c r="E108" s="47"/>
      <c r="F108" s="47">
        <f>ROUNDDOWN(D108*E108, 0)</f>
        <v>0</v>
      </c>
      <c r="G108" s="47"/>
      <c r="H108" s="47">
        <f>ROUNDDOWN(D108*G108, 0)</f>
        <v>0</v>
      </c>
      <c r="I108" s="47"/>
      <c r="J108" s="47">
        <f>ROUNDDOWN(D108*I108, 0)</f>
        <v>0</v>
      </c>
      <c r="K108" s="47">
        <f t="shared" ref="K108" si="6">E108+G108+I108</f>
        <v>0</v>
      </c>
      <c r="L108" s="47">
        <f t="shared" ref="L108" si="7">F108+H108+J108</f>
        <v>0</v>
      </c>
      <c r="M108" s="39"/>
    </row>
    <row r="109" spans="1:17" ht="20.100000000000001" customHeight="1">
      <c r="A109" s="38" t="s">
        <v>105</v>
      </c>
      <c r="B109" s="38" t="s">
        <v>55</v>
      </c>
      <c r="C109" s="40" t="s">
        <v>56</v>
      </c>
      <c r="D109" s="47"/>
      <c r="E109" s="47"/>
      <c r="F109" s="47"/>
      <c r="G109" s="47"/>
      <c r="H109" s="47"/>
      <c r="I109" s="47"/>
      <c r="J109" s="47"/>
      <c r="K109" s="47"/>
      <c r="L109" s="47"/>
      <c r="M109" s="38"/>
      <c r="O109" s="1" t="s">
        <v>58</v>
      </c>
      <c r="P109" s="1" t="s">
        <v>59</v>
      </c>
      <c r="Q109">
        <v>1</v>
      </c>
    </row>
    <row r="110" spans="1:17" ht="20.100000000000001" customHeight="1">
      <c r="A110" s="38" t="s">
        <v>60</v>
      </c>
      <c r="B110" s="38" t="s">
        <v>61</v>
      </c>
      <c r="C110" s="40" t="s">
        <v>56</v>
      </c>
      <c r="D110" s="47"/>
      <c r="E110" s="47"/>
      <c r="F110" s="47"/>
      <c r="G110" s="47"/>
      <c r="H110" s="47"/>
      <c r="I110" s="47"/>
      <c r="J110" s="47"/>
      <c r="K110" s="47"/>
      <c r="L110" s="47"/>
      <c r="M110" s="38"/>
      <c r="O110" s="1" t="s">
        <v>58</v>
      </c>
      <c r="P110" s="1" t="s">
        <v>59</v>
      </c>
      <c r="Q110">
        <v>1</v>
      </c>
    </row>
    <row r="111" spans="1:17" ht="20.100000000000001" customHeight="1">
      <c r="A111" s="40" t="s">
        <v>63</v>
      </c>
      <c r="B111" s="39"/>
      <c r="C111" s="40" t="s">
        <v>53</v>
      </c>
      <c r="D111" s="47"/>
      <c r="E111" s="47"/>
      <c r="F111" s="47"/>
      <c r="G111" s="47"/>
      <c r="H111" s="47"/>
      <c r="I111" s="47"/>
      <c r="J111" s="47"/>
      <c r="K111" s="47"/>
      <c r="L111" s="47"/>
      <c r="M111" s="39"/>
    </row>
    <row r="112" spans="1:17" ht="20.100000000000001" customHeight="1">
      <c r="A112" s="38" t="s">
        <v>64</v>
      </c>
      <c r="B112" s="39"/>
      <c r="C112" s="40" t="s">
        <v>53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39"/>
    </row>
    <row r="113" spans="1:20" ht="20.100000000000001" customHeight="1">
      <c r="A113" s="38" t="s">
        <v>65</v>
      </c>
      <c r="B113" s="38" t="s">
        <v>66</v>
      </c>
      <c r="C113" s="40" t="s">
        <v>67</v>
      </c>
      <c r="D113" s="47"/>
      <c r="E113" s="47"/>
      <c r="F113" s="47"/>
      <c r="G113" s="47"/>
      <c r="H113" s="47"/>
      <c r="I113" s="47"/>
      <c r="J113" s="47"/>
      <c r="K113" s="47"/>
      <c r="L113" s="47"/>
      <c r="M113" s="39"/>
      <c r="O113" s="1" t="s">
        <v>0</v>
      </c>
      <c r="P113" s="1" t="s">
        <v>59</v>
      </c>
      <c r="Q113">
        <v>1</v>
      </c>
    </row>
    <row r="114" spans="1:20" ht="20.100000000000001" customHeight="1">
      <c r="A114" s="38" t="s">
        <v>68</v>
      </c>
      <c r="B114" s="39" t="str">
        <f>"주연료비의 " &amp; N114*100 &amp; "%"</f>
        <v>주연료비의 16%</v>
      </c>
      <c r="C114" s="40" t="s">
        <v>1</v>
      </c>
      <c r="D114" s="47"/>
      <c r="E114" s="47"/>
      <c r="F114" s="47"/>
      <c r="G114" s="47"/>
      <c r="H114" s="47"/>
      <c r="I114" s="47"/>
      <c r="J114" s="47"/>
      <c r="K114" s="47"/>
      <c r="L114" s="47"/>
      <c r="M114" s="39"/>
      <c r="N114">
        <v>0.16</v>
      </c>
      <c r="P114" s="1" t="s">
        <v>59</v>
      </c>
      <c r="Q114">
        <v>1</v>
      </c>
      <c r="R114" s="1" t="s">
        <v>69</v>
      </c>
      <c r="S114" s="1" t="s">
        <v>70</v>
      </c>
      <c r="T114" s="1" t="s">
        <v>71</v>
      </c>
    </row>
    <row r="115" spans="1:20" ht="20.100000000000001" customHeight="1">
      <c r="A115" s="40" t="s">
        <v>63</v>
      </c>
      <c r="B115" s="39"/>
      <c r="C115" s="40" t="s">
        <v>53</v>
      </c>
      <c r="D115" s="47"/>
      <c r="E115" s="47"/>
      <c r="F115" s="47"/>
      <c r="G115" s="47"/>
      <c r="H115" s="47"/>
      <c r="I115" s="47"/>
      <c r="J115" s="47"/>
      <c r="K115" s="47"/>
      <c r="L115" s="47"/>
      <c r="M115" s="39"/>
    </row>
    <row r="116" spans="1:20" ht="20.100000000000001" customHeight="1">
      <c r="A116" s="38" t="s">
        <v>72</v>
      </c>
      <c r="B116" s="39"/>
      <c r="C116" s="40" t="s">
        <v>53</v>
      </c>
      <c r="D116" s="47"/>
      <c r="E116" s="47"/>
      <c r="F116" s="47"/>
      <c r="G116" s="47"/>
      <c r="H116" s="47"/>
      <c r="I116" s="47"/>
      <c r="J116" s="47"/>
      <c r="K116" s="47"/>
      <c r="L116" s="47"/>
      <c r="M116" s="39"/>
    </row>
    <row r="117" spans="1:20" ht="20.100000000000001" customHeight="1">
      <c r="A117" s="38" t="s">
        <v>73</v>
      </c>
      <c r="B117" s="38" t="s">
        <v>74</v>
      </c>
      <c r="C117" s="40" t="s">
        <v>75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39"/>
      <c r="O117" s="1" t="s">
        <v>76</v>
      </c>
      <c r="P117" s="1" t="s">
        <v>59</v>
      </c>
      <c r="Q117">
        <v>1</v>
      </c>
    </row>
    <row r="118" spans="1:20" ht="20.100000000000001" customHeight="1">
      <c r="A118" s="40" t="s">
        <v>63</v>
      </c>
      <c r="B118" s="39"/>
      <c r="C118" s="40" t="s">
        <v>53</v>
      </c>
      <c r="D118" s="47"/>
      <c r="E118" s="47"/>
      <c r="F118" s="47"/>
      <c r="G118" s="47"/>
      <c r="H118" s="47"/>
      <c r="I118" s="47"/>
      <c r="J118" s="47"/>
      <c r="K118" s="47"/>
      <c r="L118" s="47"/>
      <c r="M118" s="39"/>
    </row>
    <row r="119" spans="1:20" ht="20.100000000000001" customHeight="1">
      <c r="A119" s="42" t="s">
        <v>31</v>
      </c>
      <c r="B119" s="43"/>
      <c r="C119" s="44"/>
      <c r="D119" s="48"/>
      <c r="E119" s="48"/>
      <c r="F119" s="48">
        <f>ROUNDDOWN(SUMIF(Q108:Q118, "1", F108:F118), 0)</f>
        <v>0</v>
      </c>
      <c r="G119" s="48"/>
      <c r="H119" s="48">
        <f>ROUNDDOWN(SUMIF(Q108:Q118, "1", H108:H118), 0)</f>
        <v>0</v>
      </c>
      <c r="I119" s="48"/>
      <c r="J119" s="48">
        <f>ROUNDDOWN(SUMIF(Q108:Q118, "1", J108:J118), 0)</f>
        <v>0</v>
      </c>
      <c r="K119" s="48"/>
      <c r="L119" s="48">
        <f>F119+H119+J119</f>
        <v>0</v>
      </c>
      <c r="M119" s="43"/>
    </row>
    <row r="120" spans="1:20" ht="20.100000000000001" customHeight="1">
      <c r="A120" s="149" t="s">
        <v>79</v>
      </c>
      <c r="B120" s="150"/>
      <c r="C120" s="150"/>
      <c r="D120" s="151"/>
      <c r="E120" s="151"/>
      <c r="F120" s="151"/>
      <c r="G120" s="151"/>
      <c r="H120" s="151"/>
      <c r="I120" s="151"/>
      <c r="J120" s="151"/>
      <c r="K120" s="151"/>
      <c r="L120" s="151"/>
      <c r="M120" s="150"/>
    </row>
    <row r="121" spans="1:20" ht="20.100000000000001" customHeight="1">
      <c r="A121" s="149" t="s">
        <v>85</v>
      </c>
      <c r="B121" s="150"/>
      <c r="C121" s="150"/>
      <c r="D121" s="151"/>
      <c r="E121" s="151"/>
      <c r="F121" s="151"/>
      <c r="G121" s="151"/>
      <c r="H121" s="151"/>
      <c r="I121" s="151"/>
      <c r="J121" s="151"/>
      <c r="K121" s="151"/>
      <c r="L121" s="151"/>
      <c r="M121" s="150"/>
    </row>
    <row r="122" spans="1:20" ht="20.100000000000001" customHeight="1">
      <c r="A122" s="149" t="s">
        <v>89</v>
      </c>
      <c r="B122" s="150"/>
      <c r="C122" s="150"/>
      <c r="D122" s="151"/>
      <c r="E122" s="151"/>
      <c r="F122" s="151"/>
      <c r="G122" s="151"/>
      <c r="H122" s="151"/>
      <c r="I122" s="151"/>
      <c r="J122" s="151"/>
      <c r="K122" s="151"/>
      <c r="L122" s="151"/>
      <c r="M122" s="150"/>
    </row>
    <row r="123" spans="1:20" ht="20.100000000000001" customHeight="1">
      <c r="A123" s="150"/>
      <c r="B123" s="150"/>
      <c r="C123" s="150"/>
      <c r="D123" s="151"/>
      <c r="E123" s="151"/>
      <c r="F123" s="151"/>
      <c r="G123" s="151"/>
      <c r="H123" s="151"/>
      <c r="I123" s="151"/>
      <c r="J123" s="151"/>
      <c r="K123" s="151"/>
      <c r="L123" s="151"/>
      <c r="M123" s="150"/>
    </row>
    <row r="124" spans="1:20" ht="20.100000000000001" customHeight="1">
      <c r="A124" s="149" t="s">
        <v>111</v>
      </c>
      <c r="B124" s="150"/>
      <c r="C124" s="150"/>
      <c r="D124" s="151"/>
      <c r="E124" s="151"/>
      <c r="F124" s="151"/>
      <c r="G124" s="151"/>
      <c r="H124" s="151"/>
      <c r="I124" s="151"/>
      <c r="J124" s="151"/>
      <c r="K124" s="151"/>
      <c r="L124" s="151"/>
      <c r="M124" s="150"/>
    </row>
    <row r="125" spans="1:20" ht="20.100000000000001" customHeight="1">
      <c r="A125" s="150"/>
      <c r="B125" s="150"/>
      <c r="C125" s="150"/>
      <c r="D125" s="151"/>
      <c r="E125" s="151"/>
      <c r="F125" s="151"/>
      <c r="G125" s="151"/>
      <c r="H125" s="151"/>
      <c r="I125" s="151"/>
      <c r="J125" s="151"/>
      <c r="K125" s="151"/>
      <c r="L125" s="151"/>
      <c r="M125" s="150"/>
    </row>
    <row r="126" spans="1:20" ht="20.100000000000001" customHeight="1">
      <c r="A126" s="149" t="s">
        <v>112</v>
      </c>
      <c r="B126" s="150"/>
      <c r="C126" s="150"/>
      <c r="D126" s="151"/>
      <c r="E126" s="151"/>
      <c r="F126" s="151"/>
      <c r="G126" s="151"/>
      <c r="H126" s="151"/>
      <c r="I126" s="151"/>
      <c r="J126" s="151"/>
      <c r="K126" s="151"/>
      <c r="L126" s="151"/>
      <c r="M126" s="150"/>
    </row>
    <row r="127" spans="1:20" ht="20.100000000000001" customHeight="1">
      <c r="A127" s="149" t="s">
        <v>113</v>
      </c>
      <c r="B127" s="150"/>
      <c r="C127" s="150"/>
      <c r="D127" s="151"/>
      <c r="E127" s="151"/>
      <c r="F127" s="151"/>
      <c r="G127" s="151"/>
      <c r="H127" s="151"/>
      <c r="I127" s="151"/>
      <c r="J127" s="151"/>
      <c r="K127" s="151"/>
      <c r="L127" s="151"/>
      <c r="M127" s="150"/>
    </row>
    <row r="128" spans="1:20" ht="20.100000000000001" customHeight="1">
      <c r="A128" s="149" t="s">
        <v>114</v>
      </c>
      <c r="B128" s="150"/>
      <c r="C128" s="150"/>
      <c r="D128" s="151"/>
      <c r="E128" s="151"/>
      <c r="F128" s="151"/>
      <c r="G128" s="151"/>
      <c r="H128" s="151"/>
      <c r="I128" s="151"/>
      <c r="J128" s="151"/>
      <c r="K128" s="151"/>
      <c r="L128" s="151"/>
      <c r="M128" s="150"/>
    </row>
    <row r="129" spans="1:20" ht="20.100000000000001" customHeight="1">
      <c r="A129" s="149" t="s">
        <v>115</v>
      </c>
      <c r="B129" s="150"/>
      <c r="C129" s="150"/>
      <c r="D129" s="151"/>
      <c r="E129" s="151"/>
      <c r="F129" s="151"/>
      <c r="G129" s="151"/>
      <c r="H129" s="151"/>
      <c r="I129" s="151"/>
      <c r="J129" s="151"/>
      <c r="K129" s="151"/>
      <c r="L129" s="151"/>
      <c r="M129" s="150"/>
    </row>
    <row r="130" spans="1:20" ht="20.100000000000001" customHeight="1">
      <c r="A130" s="39"/>
      <c r="B130" s="39"/>
      <c r="C130" s="46"/>
      <c r="D130" s="47"/>
      <c r="E130" s="47"/>
      <c r="F130" s="47"/>
      <c r="G130" s="47"/>
      <c r="H130" s="47"/>
      <c r="I130" s="47"/>
      <c r="J130" s="47"/>
      <c r="K130" s="47"/>
      <c r="L130" s="47"/>
      <c r="M130" s="39"/>
    </row>
    <row r="131" spans="1:20" ht="20.100000000000001" customHeight="1">
      <c r="A131" s="144" t="s">
        <v>116</v>
      </c>
      <c r="B131" s="145"/>
      <c r="C131" s="145"/>
      <c r="D131" s="146"/>
      <c r="E131" s="146"/>
      <c r="F131" s="146"/>
      <c r="G131" s="146"/>
      <c r="H131" s="146"/>
      <c r="I131" s="146"/>
      <c r="J131" s="146"/>
      <c r="K131" s="146"/>
      <c r="L131" s="146"/>
      <c r="M131" s="37" t="s">
        <v>117</v>
      </c>
    </row>
    <row r="132" spans="1:20" ht="20.100000000000001" customHeight="1">
      <c r="A132" s="38" t="s">
        <v>52</v>
      </c>
      <c r="B132" s="39"/>
      <c r="C132" s="40" t="s">
        <v>53</v>
      </c>
      <c r="D132" s="47"/>
      <c r="E132" s="47"/>
      <c r="F132" s="47">
        <f>ROUNDDOWN(D132*E132, 0)</f>
        <v>0</v>
      </c>
      <c r="G132" s="47"/>
      <c r="H132" s="47">
        <f>ROUNDDOWN(D132*G132, 0)</f>
        <v>0</v>
      </c>
      <c r="I132" s="47"/>
      <c r="J132" s="47">
        <f>ROUNDDOWN(D132*I132, 0)</f>
        <v>0</v>
      </c>
      <c r="K132" s="47">
        <f t="shared" ref="K132:L132" si="8">E132+G132+I132</f>
        <v>0</v>
      </c>
      <c r="L132" s="47">
        <f t="shared" si="8"/>
        <v>0</v>
      </c>
      <c r="M132" s="39"/>
    </row>
    <row r="133" spans="1:20" ht="20.100000000000001" customHeight="1">
      <c r="A133" s="38" t="s">
        <v>118</v>
      </c>
      <c r="B133" s="38" t="s">
        <v>119</v>
      </c>
      <c r="C133" s="40" t="s">
        <v>56</v>
      </c>
      <c r="D133" s="47"/>
      <c r="E133" s="47"/>
      <c r="F133" s="47"/>
      <c r="G133" s="47"/>
      <c r="H133" s="47"/>
      <c r="I133" s="47"/>
      <c r="J133" s="47"/>
      <c r="K133" s="47"/>
      <c r="L133" s="47"/>
      <c r="M133" s="38"/>
      <c r="O133" s="1" t="s">
        <v>58</v>
      </c>
      <c r="P133" s="1" t="s">
        <v>59</v>
      </c>
      <c r="Q133">
        <v>1</v>
      </c>
    </row>
    <row r="134" spans="1:20" ht="20.100000000000001" customHeight="1">
      <c r="A134" s="40" t="s">
        <v>63</v>
      </c>
      <c r="B134" s="39"/>
      <c r="C134" s="40" t="s">
        <v>53</v>
      </c>
      <c r="D134" s="47"/>
      <c r="E134" s="47"/>
      <c r="F134" s="47"/>
      <c r="G134" s="47"/>
      <c r="H134" s="47"/>
      <c r="I134" s="47"/>
      <c r="J134" s="47"/>
      <c r="K134" s="47"/>
      <c r="L134" s="47"/>
      <c r="M134" s="39"/>
    </row>
    <row r="135" spans="1:20" ht="20.100000000000001" customHeight="1">
      <c r="A135" s="38" t="s">
        <v>64</v>
      </c>
      <c r="B135" s="39"/>
      <c r="C135" s="40" t="s">
        <v>53</v>
      </c>
      <c r="D135" s="47"/>
      <c r="E135" s="47"/>
      <c r="F135" s="47"/>
      <c r="G135" s="47"/>
      <c r="H135" s="47"/>
      <c r="I135" s="47"/>
      <c r="J135" s="47"/>
      <c r="K135" s="47"/>
      <c r="L135" s="47"/>
      <c r="M135" s="39"/>
    </row>
    <row r="136" spans="1:20" ht="20.100000000000001" customHeight="1">
      <c r="A136" s="38" t="s">
        <v>121</v>
      </c>
      <c r="B136" s="38" t="s">
        <v>122</v>
      </c>
      <c r="C136" s="40" t="s">
        <v>67</v>
      </c>
      <c r="D136" s="47"/>
      <c r="E136" s="47"/>
      <c r="F136" s="47"/>
      <c r="G136" s="47"/>
      <c r="H136" s="47"/>
      <c r="I136" s="47"/>
      <c r="J136" s="47"/>
      <c r="K136" s="47"/>
      <c r="L136" s="47"/>
      <c r="M136" s="39"/>
      <c r="O136" s="1" t="s">
        <v>0</v>
      </c>
      <c r="P136" s="1" t="s">
        <v>59</v>
      </c>
      <c r="Q136">
        <v>1</v>
      </c>
    </row>
    <row r="137" spans="1:20" ht="20.100000000000001" customHeight="1">
      <c r="A137" s="38" t="s">
        <v>68</v>
      </c>
      <c r="B137" s="39" t="str">
        <f>"주연료비의 " &amp; N137*100 &amp; "%"</f>
        <v>주연료비의 20%</v>
      </c>
      <c r="C137" s="40" t="s">
        <v>1</v>
      </c>
      <c r="D137" s="47"/>
      <c r="E137" s="47"/>
      <c r="F137" s="47"/>
      <c r="G137" s="47"/>
      <c r="H137" s="47"/>
      <c r="I137" s="47"/>
      <c r="J137" s="47"/>
      <c r="K137" s="47"/>
      <c r="L137" s="47"/>
      <c r="M137" s="39"/>
      <c r="N137">
        <v>0.2</v>
      </c>
      <c r="P137" s="1" t="s">
        <v>59</v>
      </c>
      <c r="Q137">
        <v>1</v>
      </c>
      <c r="R137" s="1" t="s">
        <v>69</v>
      </c>
      <c r="S137" s="1" t="s">
        <v>70</v>
      </c>
      <c r="T137" s="1" t="s">
        <v>71</v>
      </c>
    </row>
    <row r="138" spans="1:20" ht="20.100000000000001" customHeight="1">
      <c r="A138" s="40" t="s">
        <v>63</v>
      </c>
      <c r="B138" s="39"/>
      <c r="C138" s="40" t="s">
        <v>53</v>
      </c>
      <c r="D138" s="47"/>
      <c r="E138" s="47"/>
      <c r="F138" s="47"/>
      <c r="G138" s="47"/>
      <c r="H138" s="47"/>
      <c r="I138" s="47"/>
      <c r="J138" s="47"/>
      <c r="K138" s="47"/>
      <c r="L138" s="47"/>
      <c r="M138" s="39"/>
    </row>
    <row r="139" spans="1:20" ht="20.100000000000001" customHeight="1">
      <c r="A139" s="42" t="s">
        <v>31</v>
      </c>
      <c r="B139" s="43"/>
      <c r="C139" s="44"/>
      <c r="D139" s="48"/>
      <c r="E139" s="48"/>
      <c r="F139" s="48">
        <f>ROUNDDOWN(SUMIF(Q132:Q138, "1", F132:F138), 0)</f>
        <v>0</v>
      </c>
      <c r="G139" s="48"/>
      <c r="H139" s="48">
        <f>ROUNDDOWN(SUMIF(Q132:Q138, "1", H132:H138), 0)</f>
        <v>0</v>
      </c>
      <c r="I139" s="48"/>
      <c r="J139" s="48">
        <f>ROUNDDOWN(SUMIF(Q132:Q138, "1", J132:J138), 0)</f>
        <v>0</v>
      </c>
      <c r="K139" s="48"/>
      <c r="L139" s="48">
        <f>F139+H139+J139</f>
        <v>0</v>
      </c>
      <c r="M139" s="43"/>
    </row>
    <row r="140" spans="1:20" ht="20.100000000000001" customHeight="1">
      <c r="A140" s="149" t="s">
        <v>79</v>
      </c>
      <c r="B140" s="150"/>
      <c r="C140" s="150"/>
      <c r="D140" s="151"/>
      <c r="E140" s="151"/>
      <c r="F140" s="151"/>
      <c r="G140" s="151"/>
      <c r="H140" s="151"/>
      <c r="I140" s="151"/>
      <c r="J140" s="151"/>
      <c r="K140" s="151"/>
      <c r="L140" s="151"/>
      <c r="M140" s="150"/>
    </row>
    <row r="141" spans="1:20" ht="20.100000000000001" customHeight="1">
      <c r="A141" s="149" t="s">
        <v>123</v>
      </c>
      <c r="B141" s="150"/>
      <c r="C141" s="150"/>
      <c r="D141" s="151"/>
      <c r="E141" s="151"/>
      <c r="F141" s="151"/>
      <c r="G141" s="151"/>
      <c r="H141" s="151"/>
      <c r="I141" s="151"/>
      <c r="J141" s="151"/>
      <c r="K141" s="151"/>
      <c r="L141" s="151"/>
      <c r="M141" s="150"/>
    </row>
    <row r="142" spans="1:20" ht="20.100000000000001" customHeight="1">
      <c r="A142" s="149" t="s">
        <v>124</v>
      </c>
      <c r="B142" s="150"/>
      <c r="C142" s="150"/>
      <c r="D142" s="151"/>
      <c r="E142" s="151"/>
      <c r="F142" s="151"/>
      <c r="G142" s="151"/>
      <c r="H142" s="151"/>
      <c r="I142" s="151"/>
      <c r="J142" s="151"/>
      <c r="K142" s="151"/>
      <c r="L142" s="151"/>
      <c r="M142" s="150"/>
    </row>
    <row r="143" spans="1:20" ht="20.100000000000001" customHeight="1">
      <c r="A143" s="149" t="s">
        <v>81</v>
      </c>
      <c r="B143" s="150"/>
      <c r="C143" s="150"/>
      <c r="D143" s="151"/>
      <c r="E143" s="151"/>
      <c r="F143" s="151"/>
      <c r="G143" s="151"/>
      <c r="H143" s="151"/>
      <c r="I143" s="151"/>
      <c r="J143" s="151"/>
      <c r="K143" s="151"/>
      <c r="L143" s="151"/>
      <c r="M143" s="150"/>
    </row>
    <row r="144" spans="1:20" ht="20.100000000000001" customHeight="1">
      <c r="A144" s="149" t="s">
        <v>82</v>
      </c>
      <c r="B144" s="150"/>
      <c r="C144" s="150"/>
      <c r="D144" s="151"/>
      <c r="E144" s="151"/>
      <c r="F144" s="151"/>
      <c r="G144" s="151"/>
      <c r="H144" s="151"/>
      <c r="I144" s="151"/>
      <c r="J144" s="151"/>
      <c r="K144" s="151"/>
      <c r="L144" s="151"/>
      <c r="M144" s="150"/>
    </row>
    <row r="145" spans="1:13" ht="20.100000000000001" customHeight="1">
      <c r="A145" s="149" t="s">
        <v>125</v>
      </c>
      <c r="B145" s="150"/>
      <c r="C145" s="150"/>
      <c r="D145" s="151"/>
      <c r="E145" s="151"/>
      <c r="F145" s="151"/>
      <c r="G145" s="151"/>
      <c r="H145" s="151"/>
      <c r="I145" s="151"/>
      <c r="J145" s="151"/>
      <c r="K145" s="151"/>
      <c r="L145" s="151"/>
      <c r="M145" s="150"/>
    </row>
    <row r="146" spans="1:13" ht="20.100000000000001" customHeight="1">
      <c r="A146" s="149" t="s">
        <v>126</v>
      </c>
      <c r="B146" s="150"/>
      <c r="C146" s="150"/>
      <c r="D146" s="151"/>
      <c r="E146" s="151"/>
      <c r="F146" s="151"/>
      <c r="G146" s="151"/>
      <c r="H146" s="151"/>
      <c r="I146" s="151"/>
      <c r="J146" s="151"/>
      <c r="K146" s="151"/>
      <c r="L146" s="151"/>
      <c r="M146" s="150"/>
    </row>
    <row r="147" spans="1:13" ht="20.100000000000001" customHeight="1">
      <c r="A147" s="150"/>
      <c r="B147" s="150"/>
      <c r="C147" s="150"/>
      <c r="D147" s="151"/>
      <c r="E147" s="151"/>
      <c r="F147" s="151"/>
      <c r="G147" s="151"/>
      <c r="H147" s="151"/>
      <c r="I147" s="151"/>
      <c r="J147" s="151"/>
      <c r="K147" s="151"/>
      <c r="L147" s="151"/>
      <c r="M147" s="150"/>
    </row>
    <row r="148" spans="1:13" ht="20.100000000000001" customHeight="1">
      <c r="A148" s="150"/>
      <c r="B148" s="150"/>
      <c r="C148" s="150"/>
      <c r="D148" s="151"/>
      <c r="E148" s="151"/>
      <c r="F148" s="151"/>
      <c r="G148" s="151"/>
      <c r="H148" s="151"/>
      <c r="I148" s="151"/>
      <c r="J148" s="151"/>
      <c r="K148" s="151"/>
      <c r="L148" s="151"/>
      <c r="M148" s="150"/>
    </row>
    <row r="149" spans="1:13" ht="20.100000000000001" customHeight="1">
      <c r="A149" s="149" t="s">
        <v>85</v>
      </c>
      <c r="B149" s="150"/>
      <c r="C149" s="150"/>
      <c r="D149" s="151"/>
      <c r="E149" s="151"/>
      <c r="F149" s="151"/>
      <c r="G149" s="151"/>
      <c r="H149" s="151"/>
      <c r="I149" s="151"/>
      <c r="J149" s="151"/>
      <c r="K149" s="151"/>
      <c r="L149" s="151"/>
      <c r="M149" s="150"/>
    </row>
    <row r="150" spans="1:13" ht="20.100000000000001" customHeight="1">
      <c r="A150" s="149" t="s">
        <v>112</v>
      </c>
      <c r="B150" s="150"/>
      <c r="C150" s="150"/>
      <c r="D150" s="151"/>
      <c r="E150" s="151"/>
      <c r="F150" s="151"/>
      <c r="G150" s="151"/>
      <c r="H150" s="151"/>
      <c r="I150" s="151"/>
      <c r="J150" s="151"/>
      <c r="K150" s="151"/>
      <c r="L150" s="151"/>
      <c r="M150" s="150"/>
    </row>
    <row r="151" spans="1:13" ht="20.100000000000001" customHeight="1">
      <c r="A151" s="149" t="s">
        <v>124</v>
      </c>
      <c r="B151" s="150"/>
      <c r="C151" s="150"/>
      <c r="D151" s="151"/>
      <c r="E151" s="151"/>
      <c r="F151" s="151"/>
      <c r="G151" s="151"/>
      <c r="H151" s="151"/>
      <c r="I151" s="151"/>
      <c r="J151" s="151"/>
      <c r="K151" s="151"/>
      <c r="L151" s="151"/>
      <c r="M151" s="150"/>
    </row>
    <row r="152" spans="1:13" ht="20.100000000000001" customHeight="1">
      <c r="A152" s="149" t="s">
        <v>86</v>
      </c>
      <c r="B152" s="150"/>
      <c r="C152" s="150"/>
      <c r="D152" s="151"/>
      <c r="E152" s="151"/>
      <c r="F152" s="151"/>
      <c r="G152" s="151"/>
      <c r="H152" s="151"/>
      <c r="I152" s="151"/>
      <c r="J152" s="151"/>
      <c r="K152" s="151"/>
      <c r="L152" s="151"/>
      <c r="M152" s="150"/>
    </row>
    <row r="153" spans="1:13" ht="20.100000000000001" customHeight="1">
      <c r="A153" s="149" t="s">
        <v>87</v>
      </c>
      <c r="B153" s="150"/>
      <c r="C153" s="150"/>
      <c r="D153" s="151"/>
      <c r="E153" s="151"/>
      <c r="F153" s="151"/>
      <c r="G153" s="151"/>
      <c r="H153" s="151"/>
      <c r="I153" s="151"/>
      <c r="J153" s="151"/>
      <c r="K153" s="151"/>
      <c r="L153" s="151"/>
      <c r="M153" s="150"/>
    </row>
    <row r="154" spans="1:13" ht="20.100000000000001" customHeight="1">
      <c r="A154" s="149" t="s">
        <v>127</v>
      </c>
      <c r="B154" s="150"/>
      <c r="C154" s="150"/>
      <c r="D154" s="151"/>
      <c r="E154" s="151"/>
      <c r="F154" s="151"/>
      <c r="G154" s="151"/>
      <c r="H154" s="151"/>
      <c r="I154" s="151"/>
      <c r="J154" s="151"/>
      <c r="K154" s="151"/>
      <c r="L154" s="151"/>
      <c r="M154" s="150"/>
    </row>
    <row r="155" spans="1:13" ht="20.100000000000001" customHeight="1">
      <c r="A155" s="150"/>
      <c r="B155" s="150"/>
      <c r="C155" s="150"/>
      <c r="D155" s="151"/>
      <c r="E155" s="151"/>
      <c r="F155" s="151"/>
      <c r="G155" s="151"/>
      <c r="H155" s="151"/>
      <c r="I155" s="151"/>
      <c r="J155" s="151"/>
      <c r="K155" s="151"/>
      <c r="L155" s="151"/>
      <c r="M155" s="150"/>
    </row>
    <row r="156" spans="1:13" ht="20.100000000000001" customHeight="1">
      <c r="A156" s="150"/>
      <c r="B156" s="150"/>
      <c r="C156" s="150"/>
      <c r="D156" s="151"/>
      <c r="E156" s="151"/>
      <c r="F156" s="151"/>
      <c r="G156" s="151"/>
      <c r="H156" s="151"/>
      <c r="I156" s="151"/>
      <c r="J156" s="151"/>
      <c r="K156" s="151"/>
      <c r="L156" s="151"/>
      <c r="M156" s="150"/>
    </row>
    <row r="157" spans="1:13" ht="20.100000000000001" customHeight="1">
      <c r="A157" s="149" t="s">
        <v>89</v>
      </c>
      <c r="B157" s="150"/>
      <c r="C157" s="150"/>
      <c r="D157" s="151"/>
      <c r="E157" s="151"/>
      <c r="F157" s="151"/>
      <c r="G157" s="151"/>
      <c r="H157" s="151"/>
      <c r="I157" s="151"/>
      <c r="J157" s="151"/>
      <c r="K157" s="151"/>
      <c r="L157" s="151"/>
      <c r="M157" s="150"/>
    </row>
    <row r="158" spans="1:13" ht="20.100000000000001" customHeight="1">
      <c r="A158" s="149" t="s">
        <v>128</v>
      </c>
      <c r="B158" s="150"/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0"/>
    </row>
    <row r="159" spans="1:13" ht="20.100000000000001" customHeight="1">
      <c r="A159" s="149" t="s">
        <v>129</v>
      </c>
      <c r="B159" s="150"/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0"/>
    </row>
    <row r="160" spans="1:13" ht="20.100000000000001" customHeight="1">
      <c r="A160" s="149" t="s">
        <v>130</v>
      </c>
      <c r="B160" s="150"/>
      <c r="C160" s="150"/>
      <c r="D160" s="151"/>
      <c r="E160" s="151"/>
      <c r="F160" s="151"/>
      <c r="G160" s="151"/>
      <c r="H160" s="151"/>
      <c r="I160" s="151"/>
      <c r="J160" s="151"/>
      <c r="K160" s="151"/>
      <c r="L160" s="151"/>
      <c r="M160" s="150"/>
    </row>
    <row r="161" spans="1:20" ht="20.100000000000001" customHeight="1">
      <c r="A161" s="150"/>
      <c r="B161" s="150"/>
      <c r="C161" s="150"/>
      <c r="D161" s="151"/>
      <c r="E161" s="151"/>
      <c r="F161" s="151"/>
      <c r="G161" s="151"/>
      <c r="H161" s="151"/>
      <c r="I161" s="151"/>
      <c r="J161" s="151"/>
      <c r="K161" s="151"/>
      <c r="L161" s="151"/>
      <c r="M161" s="150"/>
    </row>
    <row r="162" spans="1:20" ht="20.100000000000001" customHeight="1">
      <c r="A162" s="150"/>
      <c r="B162" s="150"/>
      <c r="C162" s="150"/>
      <c r="D162" s="151"/>
      <c r="E162" s="151"/>
      <c r="F162" s="151"/>
      <c r="G162" s="151"/>
      <c r="H162" s="151"/>
      <c r="I162" s="151"/>
      <c r="J162" s="151"/>
      <c r="K162" s="151"/>
      <c r="L162" s="151"/>
      <c r="M162" s="150"/>
    </row>
    <row r="163" spans="1:20" ht="20.100000000000001" customHeight="1">
      <c r="A163" s="39"/>
      <c r="B163" s="39"/>
      <c r="C163" s="46"/>
      <c r="D163" s="47"/>
      <c r="E163" s="47"/>
      <c r="F163" s="47"/>
      <c r="G163" s="47"/>
      <c r="H163" s="47"/>
      <c r="I163" s="47"/>
      <c r="J163" s="47"/>
      <c r="K163" s="47"/>
      <c r="L163" s="47"/>
      <c r="M163" s="39"/>
    </row>
    <row r="164" spans="1:20" ht="20.100000000000001" customHeight="1">
      <c r="A164" s="144" t="s">
        <v>131</v>
      </c>
      <c r="B164" s="145"/>
      <c r="C164" s="145"/>
      <c r="D164" s="146"/>
      <c r="E164" s="146"/>
      <c r="F164" s="146"/>
      <c r="G164" s="146"/>
      <c r="H164" s="146"/>
      <c r="I164" s="146"/>
      <c r="J164" s="146"/>
      <c r="K164" s="146"/>
      <c r="L164" s="146"/>
      <c r="M164" s="37" t="s">
        <v>132</v>
      </c>
    </row>
    <row r="165" spans="1:20" ht="20.100000000000001" customHeight="1">
      <c r="A165" s="38" t="s">
        <v>52</v>
      </c>
      <c r="B165" s="39"/>
      <c r="C165" s="40" t="s">
        <v>53</v>
      </c>
      <c r="D165" s="47"/>
      <c r="E165" s="47"/>
      <c r="F165" s="47">
        <f>ROUNDDOWN(D165*E165, 0)</f>
        <v>0</v>
      </c>
      <c r="G165" s="47"/>
      <c r="H165" s="47">
        <f>ROUNDDOWN(D165*G165, 0)</f>
        <v>0</v>
      </c>
      <c r="I165" s="47"/>
      <c r="J165" s="47">
        <f>ROUNDDOWN(D165*I165, 0)</f>
        <v>0</v>
      </c>
      <c r="K165" s="47">
        <f t="shared" ref="K165" si="9">E165+G165+I165</f>
        <v>0</v>
      </c>
      <c r="L165" s="47">
        <f t="shared" ref="L165" si="10">F165+H165+J165</f>
        <v>0</v>
      </c>
      <c r="M165" s="39"/>
    </row>
    <row r="166" spans="1:20" ht="20.100000000000001" customHeight="1">
      <c r="A166" s="38" t="s">
        <v>133</v>
      </c>
      <c r="B166" s="38" t="s">
        <v>134</v>
      </c>
      <c r="C166" s="40" t="s">
        <v>56</v>
      </c>
      <c r="D166" s="47"/>
      <c r="E166" s="47"/>
      <c r="F166" s="47"/>
      <c r="G166" s="47"/>
      <c r="H166" s="47"/>
      <c r="I166" s="47"/>
      <c r="J166" s="47"/>
      <c r="K166" s="47"/>
      <c r="L166" s="47"/>
      <c r="M166" s="38"/>
      <c r="O166" s="1" t="s">
        <v>58</v>
      </c>
      <c r="P166" s="1" t="s">
        <v>59</v>
      </c>
      <c r="Q166">
        <v>1</v>
      </c>
    </row>
    <row r="167" spans="1:20" ht="20.100000000000001" customHeight="1">
      <c r="A167" s="40" t="s">
        <v>63</v>
      </c>
      <c r="B167" s="39"/>
      <c r="C167" s="40" t="s">
        <v>53</v>
      </c>
      <c r="D167" s="47"/>
      <c r="E167" s="47"/>
      <c r="F167" s="47"/>
      <c r="G167" s="47"/>
      <c r="H167" s="47"/>
      <c r="I167" s="47"/>
      <c r="J167" s="47"/>
      <c r="K167" s="47"/>
      <c r="L167" s="47"/>
      <c r="M167" s="39"/>
    </row>
    <row r="168" spans="1:20" ht="20.100000000000001" customHeight="1">
      <c r="A168" s="38" t="s">
        <v>64</v>
      </c>
      <c r="B168" s="39"/>
      <c r="C168" s="40" t="s">
        <v>53</v>
      </c>
      <c r="D168" s="47"/>
      <c r="E168" s="47"/>
      <c r="F168" s="47"/>
      <c r="G168" s="47"/>
      <c r="H168" s="47"/>
      <c r="I168" s="47"/>
      <c r="J168" s="47"/>
      <c r="K168" s="47"/>
      <c r="L168" s="47"/>
      <c r="M168" s="39"/>
    </row>
    <row r="169" spans="1:20" ht="20.100000000000001" customHeight="1">
      <c r="A169" s="38" t="s">
        <v>65</v>
      </c>
      <c r="B169" s="38" t="s">
        <v>66</v>
      </c>
      <c r="C169" s="40" t="s">
        <v>67</v>
      </c>
      <c r="D169" s="47"/>
      <c r="E169" s="47"/>
      <c r="F169" s="47"/>
      <c r="G169" s="47"/>
      <c r="H169" s="47"/>
      <c r="I169" s="47"/>
      <c r="J169" s="47"/>
      <c r="K169" s="47"/>
      <c r="L169" s="47"/>
      <c r="M169" s="39"/>
      <c r="O169" s="1" t="s">
        <v>0</v>
      </c>
      <c r="P169" s="1" t="s">
        <v>59</v>
      </c>
      <c r="Q169">
        <v>1</v>
      </c>
    </row>
    <row r="170" spans="1:20" ht="20.100000000000001" customHeight="1">
      <c r="A170" s="38" t="s">
        <v>68</v>
      </c>
      <c r="B170" s="39" t="str">
        <f>"주연료비의 " &amp; N170*100 &amp; "%"</f>
        <v>주연료비의 44%</v>
      </c>
      <c r="C170" s="40" t="s">
        <v>1</v>
      </c>
      <c r="D170" s="47"/>
      <c r="E170" s="47"/>
      <c r="F170" s="47"/>
      <c r="G170" s="47"/>
      <c r="H170" s="47"/>
      <c r="I170" s="47"/>
      <c r="J170" s="47"/>
      <c r="K170" s="47"/>
      <c r="L170" s="47"/>
      <c r="M170" s="39"/>
      <c r="N170">
        <v>0.44</v>
      </c>
      <c r="P170" s="1" t="s">
        <v>59</v>
      </c>
      <c r="Q170">
        <v>1</v>
      </c>
      <c r="R170" s="1" t="s">
        <v>69</v>
      </c>
      <c r="S170" s="1" t="s">
        <v>70</v>
      </c>
      <c r="T170" s="1" t="s">
        <v>71</v>
      </c>
    </row>
    <row r="171" spans="1:20" ht="20.100000000000001" customHeight="1">
      <c r="A171" s="40" t="s">
        <v>63</v>
      </c>
      <c r="B171" s="39"/>
      <c r="C171" s="40" t="s">
        <v>53</v>
      </c>
      <c r="D171" s="47"/>
      <c r="E171" s="47"/>
      <c r="F171" s="47"/>
      <c r="G171" s="47"/>
      <c r="H171" s="47"/>
      <c r="I171" s="47"/>
      <c r="J171" s="47"/>
      <c r="K171" s="47"/>
      <c r="L171" s="47"/>
      <c r="M171" s="39"/>
    </row>
    <row r="172" spans="1:20" ht="20.100000000000001" customHeight="1">
      <c r="A172" s="38" t="s">
        <v>72</v>
      </c>
      <c r="B172" s="39"/>
      <c r="C172" s="40" t="s">
        <v>53</v>
      </c>
      <c r="D172" s="47"/>
      <c r="E172" s="47"/>
      <c r="F172" s="47"/>
      <c r="G172" s="47"/>
      <c r="H172" s="47"/>
      <c r="I172" s="47"/>
      <c r="J172" s="47"/>
      <c r="K172" s="47"/>
      <c r="L172" s="47"/>
      <c r="M172" s="39"/>
    </row>
    <row r="173" spans="1:20" ht="20.100000000000001" customHeight="1">
      <c r="A173" s="38" t="s">
        <v>73</v>
      </c>
      <c r="B173" s="38" t="s">
        <v>74</v>
      </c>
      <c r="C173" s="40" t="s">
        <v>75</v>
      </c>
      <c r="D173" s="47"/>
      <c r="E173" s="47"/>
      <c r="F173" s="47"/>
      <c r="G173" s="47"/>
      <c r="H173" s="47"/>
      <c r="I173" s="47"/>
      <c r="J173" s="47"/>
      <c r="K173" s="47"/>
      <c r="L173" s="47"/>
      <c r="M173" s="39"/>
      <c r="O173" s="1" t="s">
        <v>76</v>
      </c>
      <c r="P173" s="1" t="s">
        <v>59</v>
      </c>
      <c r="Q173">
        <v>1</v>
      </c>
    </row>
    <row r="174" spans="1:20" ht="20.100000000000001" customHeight="1">
      <c r="A174" s="40" t="s">
        <v>63</v>
      </c>
      <c r="B174" s="39"/>
      <c r="C174" s="40" t="s">
        <v>53</v>
      </c>
      <c r="D174" s="47"/>
      <c r="E174" s="47"/>
      <c r="F174" s="47"/>
      <c r="G174" s="47"/>
      <c r="H174" s="47"/>
      <c r="I174" s="47"/>
      <c r="J174" s="47"/>
      <c r="K174" s="47"/>
      <c r="L174" s="47"/>
      <c r="M174" s="39"/>
    </row>
    <row r="175" spans="1:20" ht="20.100000000000001" customHeight="1">
      <c r="A175" s="42" t="s">
        <v>31</v>
      </c>
      <c r="B175" s="43"/>
      <c r="C175" s="44"/>
      <c r="D175" s="48"/>
      <c r="E175" s="48"/>
      <c r="F175" s="48">
        <f>ROUNDDOWN(SUMIF(Q165:Q174, "1", F165:F174), 0)</f>
        <v>0</v>
      </c>
      <c r="G175" s="48"/>
      <c r="H175" s="48">
        <f>ROUNDDOWN(SUMIF(Q165:Q174, "1", H165:H174), 0)</f>
        <v>0</v>
      </c>
      <c r="I175" s="48"/>
      <c r="J175" s="48">
        <f>ROUNDDOWN(SUMIF(Q165:Q174, "1", J165:J174), 0)</f>
        <v>0</v>
      </c>
      <c r="K175" s="48"/>
      <c r="L175" s="48">
        <f>F175+H175+J175</f>
        <v>0</v>
      </c>
      <c r="M175" s="43"/>
    </row>
    <row r="176" spans="1:20" ht="20.100000000000001" customHeight="1">
      <c r="A176" s="149" t="s">
        <v>79</v>
      </c>
      <c r="B176" s="150"/>
      <c r="C176" s="150"/>
      <c r="D176" s="151"/>
      <c r="E176" s="151"/>
      <c r="F176" s="151"/>
      <c r="G176" s="151"/>
      <c r="H176" s="151"/>
      <c r="I176" s="151"/>
      <c r="J176" s="151"/>
      <c r="K176" s="151"/>
      <c r="L176" s="151"/>
      <c r="M176" s="150"/>
    </row>
    <row r="177" spans="1:13" ht="20.100000000000001" customHeight="1">
      <c r="A177" s="149" t="s">
        <v>136</v>
      </c>
      <c r="B177" s="150"/>
      <c r="C177" s="150"/>
      <c r="D177" s="151"/>
      <c r="E177" s="151"/>
      <c r="F177" s="151"/>
      <c r="G177" s="151"/>
      <c r="H177" s="151"/>
      <c r="I177" s="151"/>
      <c r="J177" s="151"/>
      <c r="K177" s="151"/>
      <c r="L177" s="151"/>
      <c r="M177" s="150"/>
    </row>
    <row r="178" spans="1:13" ht="20.100000000000001" customHeight="1">
      <c r="A178" s="149" t="s">
        <v>137</v>
      </c>
      <c r="B178" s="150"/>
      <c r="C178" s="150"/>
      <c r="D178" s="151"/>
      <c r="E178" s="151"/>
      <c r="F178" s="151"/>
      <c r="G178" s="151"/>
      <c r="H178" s="151"/>
      <c r="I178" s="151"/>
      <c r="J178" s="151"/>
      <c r="K178" s="151"/>
      <c r="L178" s="151"/>
      <c r="M178" s="150"/>
    </row>
    <row r="179" spans="1:13" ht="20.100000000000001" customHeight="1">
      <c r="A179" s="149" t="s">
        <v>138</v>
      </c>
      <c r="B179" s="150"/>
      <c r="C179" s="150"/>
      <c r="D179" s="151"/>
      <c r="E179" s="151"/>
      <c r="F179" s="151"/>
      <c r="G179" s="151"/>
      <c r="H179" s="151"/>
      <c r="I179" s="151"/>
      <c r="J179" s="151"/>
      <c r="K179" s="151"/>
      <c r="L179" s="151"/>
      <c r="M179" s="150"/>
    </row>
    <row r="180" spans="1:13" ht="20.100000000000001" customHeight="1">
      <c r="A180" s="149" t="s">
        <v>139</v>
      </c>
      <c r="B180" s="150"/>
      <c r="C180" s="150"/>
      <c r="D180" s="151"/>
      <c r="E180" s="151"/>
      <c r="F180" s="151"/>
      <c r="G180" s="151"/>
      <c r="H180" s="151"/>
      <c r="I180" s="151"/>
      <c r="J180" s="151"/>
      <c r="K180" s="151"/>
      <c r="L180" s="151"/>
      <c r="M180" s="150"/>
    </row>
    <row r="181" spans="1:13" ht="20.100000000000001" customHeight="1">
      <c r="A181" s="149" t="s">
        <v>140</v>
      </c>
      <c r="B181" s="150"/>
      <c r="C181" s="150"/>
      <c r="D181" s="151"/>
      <c r="E181" s="151"/>
      <c r="F181" s="151"/>
      <c r="G181" s="151"/>
      <c r="H181" s="151"/>
      <c r="I181" s="151"/>
      <c r="J181" s="151"/>
      <c r="K181" s="151"/>
      <c r="L181" s="151"/>
      <c r="M181" s="150"/>
    </row>
    <row r="182" spans="1:13" ht="20.100000000000001" customHeight="1">
      <c r="A182" s="150"/>
      <c r="B182" s="150"/>
      <c r="C182" s="150"/>
      <c r="D182" s="151"/>
      <c r="E182" s="151"/>
      <c r="F182" s="151"/>
      <c r="G182" s="151"/>
      <c r="H182" s="151"/>
      <c r="I182" s="151"/>
      <c r="J182" s="151"/>
      <c r="K182" s="151"/>
      <c r="L182" s="151"/>
      <c r="M182" s="150"/>
    </row>
    <row r="183" spans="1:13" ht="20.100000000000001" customHeight="1">
      <c r="A183" s="149" t="s">
        <v>141</v>
      </c>
      <c r="B183" s="150"/>
      <c r="C183" s="150"/>
      <c r="D183" s="151"/>
      <c r="E183" s="151"/>
      <c r="F183" s="151"/>
      <c r="G183" s="151"/>
      <c r="H183" s="151"/>
      <c r="I183" s="151"/>
      <c r="J183" s="151"/>
      <c r="K183" s="151"/>
      <c r="L183" s="151"/>
      <c r="M183" s="150"/>
    </row>
    <row r="184" spans="1:13" ht="20.100000000000001" customHeight="1">
      <c r="A184" s="149" t="s">
        <v>142</v>
      </c>
      <c r="B184" s="150"/>
      <c r="C184" s="150"/>
      <c r="D184" s="151"/>
      <c r="E184" s="151"/>
      <c r="F184" s="151"/>
      <c r="G184" s="151"/>
      <c r="H184" s="151"/>
      <c r="I184" s="151"/>
      <c r="J184" s="151"/>
      <c r="K184" s="151"/>
      <c r="L184" s="151"/>
      <c r="M184" s="150"/>
    </row>
    <row r="185" spans="1:13" ht="20.100000000000001" customHeight="1">
      <c r="A185" s="150"/>
      <c r="B185" s="150"/>
      <c r="C185" s="150"/>
      <c r="D185" s="151"/>
      <c r="E185" s="151"/>
      <c r="F185" s="151"/>
      <c r="G185" s="151"/>
      <c r="H185" s="151"/>
      <c r="I185" s="151"/>
      <c r="J185" s="151"/>
      <c r="K185" s="151"/>
      <c r="L185" s="151"/>
      <c r="M185" s="150"/>
    </row>
    <row r="186" spans="1:13" ht="20.100000000000001" customHeight="1">
      <c r="A186" s="149" t="s">
        <v>85</v>
      </c>
      <c r="B186" s="150"/>
      <c r="C186" s="150"/>
      <c r="D186" s="151"/>
      <c r="E186" s="151"/>
      <c r="F186" s="151"/>
      <c r="G186" s="151"/>
      <c r="H186" s="151"/>
      <c r="I186" s="151"/>
      <c r="J186" s="151"/>
      <c r="K186" s="151"/>
      <c r="L186" s="151"/>
      <c r="M186" s="150"/>
    </row>
    <row r="187" spans="1:13" ht="20.100000000000001" customHeight="1">
      <c r="A187" s="149" t="s">
        <v>136</v>
      </c>
      <c r="B187" s="150"/>
      <c r="C187" s="150"/>
      <c r="D187" s="151"/>
      <c r="E187" s="151"/>
      <c r="F187" s="151"/>
      <c r="G187" s="151"/>
      <c r="H187" s="151"/>
      <c r="I187" s="151"/>
      <c r="J187" s="151"/>
      <c r="K187" s="151"/>
      <c r="L187" s="151"/>
      <c r="M187" s="150"/>
    </row>
    <row r="188" spans="1:13" ht="20.100000000000001" customHeight="1">
      <c r="A188" s="149" t="s">
        <v>143</v>
      </c>
      <c r="B188" s="150"/>
      <c r="C188" s="150"/>
      <c r="D188" s="151"/>
      <c r="E188" s="151"/>
      <c r="F188" s="151"/>
      <c r="G188" s="151"/>
      <c r="H188" s="151"/>
      <c r="I188" s="151"/>
      <c r="J188" s="151"/>
      <c r="K188" s="151"/>
      <c r="L188" s="151"/>
      <c r="M188" s="150"/>
    </row>
    <row r="189" spans="1:13" ht="20.100000000000001" customHeight="1">
      <c r="A189" s="149" t="s">
        <v>144</v>
      </c>
      <c r="B189" s="150"/>
      <c r="C189" s="150"/>
      <c r="D189" s="151"/>
      <c r="E189" s="151"/>
      <c r="F189" s="151"/>
      <c r="G189" s="151"/>
      <c r="H189" s="151"/>
      <c r="I189" s="151"/>
      <c r="J189" s="151"/>
      <c r="K189" s="151"/>
      <c r="L189" s="151"/>
      <c r="M189" s="150"/>
    </row>
    <row r="190" spans="1:13" ht="20.100000000000001" customHeight="1">
      <c r="A190" s="149" t="s">
        <v>145</v>
      </c>
      <c r="B190" s="150"/>
      <c r="C190" s="150"/>
      <c r="D190" s="151"/>
      <c r="E190" s="151"/>
      <c r="F190" s="151"/>
      <c r="G190" s="151"/>
      <c r="H190" s="151"/>
      <c r="I190" s="151"/>
      <c r="J190" s="151"/>
      <c r="K190" s="151"/>
      <c r="L190" s="151"/>
      <c r="M190" s="150"/>
    </row>
    <row r="191" spans="1:13" ht="20.100000000000001" customHeight="1">
      <c r="A191" s="150"/>
      <c r="B191" s="150"/>
      <c r="C191" s="150"/>
      <c r="D191" s="151"/>
      <c r="E191" s="151"/>
      <c r="F191" s="151"/>
      <c r="G191" s="151"/>
      <c r="H191" s="151"/>
      <c r="I191" s="151"/>
      <c r="J191" s="151"/>
      <c r="K191" s="151"/>
      <c r="L191" s="151"/>
      <c r="M191" s="150"/>
    </row>
    <row r="192" spans="1:13" ht="20.100000000000001" customHeight="1">
      <c r="A192" s="149" t="s">
        <v>89</v>
      </c>
      <c r="B192" s="150"/>
      <c r="C192" s="150"/>
      <c r="D192" s="151"/>
      <c r="E192" s="151"/>
      <c r="F192" s="151"/>
      <c r="G192" s="151"/>
      <c r="H192" s="151"/>
      <c r="I192" s="151"/>
      <c r="J192" s="151"/>
      <c r="K192" s="151"/>
      <c r="L192" s="151"/>
      <c r="M192" s="150"/>
    </row>
    <row r="193" spans="1:20" ht="20.100000000000001" customHeight="1">
      <c r="A193" s="149" t="s">
        <v>146</v>
      </c>
      <c r="B193" s="150"/>
      <c r="C193" s="150"/>
      <c r="D193" s="151"/>
      <c r="E193" s="151"/>
      <c r="F193" s="151"/>
      <c r="G193" s="151"/>
      <c r="H193" s="151"/>
      <c r="I193" s="151"/>
      <c r="J193" s="151"/>
      <c r="K193" s="151"/>
      <c r="L193" s="151"/>
      <c r="M193" s="150"/>
    </row>
    <row r="194" spans="1:20" ht="20.100000000000001" customHeight="1">
      <c r="A194" s="150"/>
      <c r="B194" s="150"/>
      <c r="C194" s="150"/>
      <c r="D194" s="151"/>
      <c r="E194" s="151"/>
      <c r="F194" s="151"/>
      <c r="G194" s="151"/>
      <c r="H194" s="151"/>
      <c r="I194" s="151"/>
      <c r="J194" s="151"/>
      <c r="K194" s="151"/>
      <c r="L194" s="151"/>
      <c r="M194" s="150"/>
    </row>
    <row r="195" spans="1:20" ht="20.100000000000001" customHeight="1">
      <c r="A195" s="39"/>
      <c r="B195" s="39"/>
      <c r="C195" s="46"/>
      <c r="D195" s="47"/>
      <c r="E195" s="47"/>
      <c r="F195" s="47"/>
      <c r="G195" s="47"/>
      <c r="H195" s="47"/>
      <c r="I195" s="47"/>
      <c r="J195" s="47"/>
      <c r="K195" s="47"/>
      <c r="L195" s="47"/>
      <c r="M195" s="39"/>
    </row>
    <row r="196" spans="1:20" ht="20.100000000000001" customHeight="1">
      <c r="A196" s="144" t="s">
        <v>147</v>
      </c>
      <c r="B196" s="145"/>
      <c r="C196" s="145"/>
      <c r="D196" s="146"/>
      <c r="E196" s="146"/>
      <c r="F196" s="146"/>
      <c r="G196" s="146"/>
      <c r="H196" s="146"/>
      <c r="I196" s="146"/>
      <c r="J196" s="146"/>
      <c r="K196" s="146"/>
      <c r="L196" s="146"/>
      <c r="M196" s="37" t="s">
        <v>148</v>
      </c>
    </row>
    <row r="197" spans="1:20" ht="20.100000000000001" customHeight="1">
      <c r="A197" s="38" t="s">
        <v>52</v>
      </c>
      <c r="B197" s="39"/>
      <c r="C197" s="40" t="s">
        <v>53</v>
      </c>
      <c r="D197" s="47"/>
      <c r="E197" s="47"/>
      <c r="F197" s="47">
        <f>ROUNDDOWN(D197*E197, 0)</f>
        <v>0</v>
      </c>
      <c r="G197" s="47"/>
      <c r="H197" s="47">
        <f>ROUNDDOWN(D197*G197, 0)</f>
        <v>0</v>
      </c>
      <c r="I197" s="47"/>
      <c r="J197" s="47">
        <f>ROUNDDOWN(D197*I197, 0)</f>
        <v>0</v>
      </c>
      <c r="K197" s="47">
        <f t="shared" ref="K197" si="11">E197+G197+I197</f>
        <v>0</v>
      </c>
      <c r="L197" s="47">
        <f t="shared" ref="L197" si="12">F197+H197+J197</f>
        <v>0</v>
      </c>
      <c r="M197" s="39"/>
    </row>
    <row r="198" spans="1:20" ht="20.100000000000001" customHeight="1">
      <c r="A198" s="38" t="s">
        <v>149</v>
      </c>
      <c r="B198" s="38" t="s">
        <v>150</v>
      </c>
      <c r="C198" s="40" t="s">
        <v>56</v>
      </c>
      <c r="D198" s="47"/>
      <c r="E198" s="47"/>
      <c r="F198" s="47"/>
      <c r="G198" s="47"/>
      <c r="H198" s="47"/>
      <c r="I198" s="47"/>
      <c r="J198" s="47"/>
      <c r="K198" s="47"/>
      <c r="L198" s="47"/>
      <c r="M198" s="38"/>
      <c r="O198" s="1" t="s">
        <v>58</v>
      </c>
      <c r="P198" s="1" t="s">
        <v>59</v>
      </c>
      <c r="Q198">
        <v>1</v>
      </c>
    </row>
    <row r="199" spans="1:20" ht="20.100000000000001" customHeight="1">
      <c r="A199" s="40" t="s">
        <v>63</v>
      </c>
      <c r="B199" s="39"/>
      <c r="C199" s="40" t="s">
        <v>53</v>
      </c>
      <c r="D199" s="47"/>
      <c r="E199" s="47"/>
      <c r="F199" s="47"/>
      <c r="G199" s="47"/>
      <c r="H199" s="47"/>
      <c r="I199" s="47"/>
      <c r="J199" s="47"/>
      <c r="K199" s="47"/>
      <c r="L199" s="47"/>
      <c r="M199" s="39"/>
    </row>
    <row r="200" spans="1:20" ht="20.100000000000001" customHeight="1">
      <c r="A200" s="38" t="s">
        <v>64</v>
      </c>
      <c r="B200" s="39"/>
      <c r="C200" s="40" t="s">
        <v>53</v>
      </c>
      <c r="D200" s="47"/>
      <c r="E200" s="47"/>
      <c r="F200" s="47"/>
      <c r="G200" s="47"/>
      <c r="H200" s="47"/>
      <c r="I200" s="47"/>
      <c r="J200" s="47"/>
      <c r="K200" s="47"/>
      <c r="L200" s="47"/>
      <c r="M200" s="39"/>
    </row>
    <row r="201" spans="1:20" ht="20.100000000000001" customHeight="1">
      <c r="A201" s="38" t="s">
        <v>65</v>
      </c>
      <c r="B201" s="38" t="s">
        <v>66</v>
      </c>
      <c r="C201" s="40" t="s">
        <v>67</v>
      </c>
      <c r="D201" s="47"/>
      <c r="E201" s="47"/>
      <c r="F201" s="47"/>
      <c r="G201" s="47"/>
      <c r="H201" s="47"/>
      <c r="I201" s="47"/>
      <c r="J201" s="47"/>
      <c r="K201" s="47"/>
      <c r="L201" s="47"/>
      <c r="M201" s="39"/>
      <c r="O201" s="1" t="s">
        <v>0</v>
      </c>
      <c r="P201" s="1" t="s">
        <v>59</v>
      </c>
      <c r="Q201">
        <v>1</v>
      </c>
    </row>
    <row r="202" spans="1:20" ht="20.100000000000001" customHeight="1">
      <c r="A202" s="38" t="s">
        <v>68</v>
      </c>
      <c r="B202" s="39" t="str">
        <f>"주연료비의 " &amp; N202*100 &amp; "%"</f>
        <v>주연료비의 30%</v>
      </c>
      <c r="C202" s="40" t="s">
        <v>1</v>
      </c>
      <c r="D202" s="47"/>
      <c r="E202" s="47"/>
      <c r="F202" s="47"/>
      <c r="G202" s="47"/>
      <c r="H202" s="47"/>
      <c r="I202" s="47"/>
      <c r="J202" s="47"/>
      <c r="K202" s="47"/>
      <c r="L202" s="47"/>
      <c r="M202" s="39"/>
      <c r="N202">
        <v>0.3</v>
      </c>
      <c r="P202" s="1" t="s">
        <v>59</v>
      </c>
      <c r="Q202">
        <v>1</v>
      </c>
      <c r="R202" s="1" t="s">
        <v>69</v>
      </c>
      <c r="S202" s="1" t="s">
        <v>70</v>
      </c>
      <c r="T202" s="1" t="s">
        <v>71</v>
      </c>
    </row>
    <row r="203" spans="1:20" ht="20.100000000000001" customHeight="1">
      <c r="A203" s="40" t="s">
        <v>63</v>
      </c>
      <c r="B203" s="39"/>
      <c r="C203" s="40" t="s">
        <v>53</v>
      </c>
      <c r="D203" s="47"/>
      <c r="E203" s="47"/>
      <c r="F203" s="47"/>
      <c r="G203" s="47"/>
      <c r="H203" s="47"/>
      <c r="I203" s="47"/>
      <c r="J203" s="47"/>
      <c r="K203" s="47"/>
      <c r="L203" s="47"/>
      <c r="M203" s="39"/>
    </row>
    <row r="204" spans="1:20" ht="20.100000000000001" customHeight="1">
      <c r="A204" s="38" t="s">
        <v>72</v>
      </c>
      <c r="B204" s="39"/>
      <c r="C204" s="40" t="s">
        <v>53</v>
      </c>
      <c r="D204" s="47"/>
      <c r="E204" s="47"/>
      <c r="F204" s="47"/>
      <c r="G204" s="47"/>
      <c r="H204" s="47"/>
      <c r="I204" s="47"/>
      <c r="J204" s="47"/>
      <c r="K204" s="47"/>
      <c r="L204" s="47"/>
      <c r="M204" s="39"/>
    </row>
    <row r="205" spans="1:20" ht="20.100000000000001" customHeight="1">
      <c r="A205" s="38" t="s">
        <v>73</v>
      </c>
      <c r="B205" s="38" t="s">
        <v>152</v>
      </c>
      <c r="C205" s="40" t="s">
        <v>75</v>
      </c>
      <c r="D205" s="47"/>
      <c r="E205" s="47"/>
      <c r="F205" s="47"/>
      <c r="G205" s="47"/>
      <c r="H205" s="47"/>
      <c r="I205" s="47"/>
      <c r="J205" s="47"/>
      <c r="K205" s="47"/>
      <c r="L205" s="47"/>
      <c r="M205" s="39"/>
      <c r="O205" s="1" t="s">
        <v>76</v>
      </c>
      <c r="P205" s="1" t="s">
        <v>59</v>
      </c>
      <c r="Q205">
        <v>1</v>
      </c>
    </row>
    <row r="206" spans="1:20" ht="20.100000000000001" customHeight="1">
      <c r="A206" s="40" t="s">
        <v>63</v>
      </c>
      <c r="B206" s="39"/>
      <c r="C206" s="40" t="s">
        <v>53</v>
      </c>
      <c r="D206" s="47"/>
      <c r="E206" s="47"/>
      <c r="F206" s="47"/>
      <c r="G206" s="47"/>
      <c r="H206" s="47"/>
      <c r="I206" s="47"/>
      <c r="J206" s="47"/>
      <c r="K206" s="47"/>
      <c r="L206" s="47"/>
      <c r="M206" s="39"/>
    </row>
    <row r="207" spans="1:20" ht="20.100000000000001" customHeight="1">
      <c r="A207" s="42" t="s">
        <v>31</v>
      </c>
      <c r="B207" s="43"/>
      <c r="C207" s="44"/>
      <c r="D207" s="48"/>
      <c r="E207" s="48"/>
      <c r="F207" s="48">
        <f>ROUNDDOWN(SUMIF(Q197:Q206, "1", F197:F206), 0)</f>
        <v>0</v>
      </c>
      <c r="G207" s="48"/>
      <c r="H207" s="48">
        <f>ROUNDDOWN(SUMIF(Q197:Q206, "1", H197:H206), 0)</f>
        <v>0</v>
      </c>
      <c r="I207" s="48"/>
      <c r="J207" s="48">
        <f>ROUNDDOWN(SUMIF(Q197:Q206, "1", J197:J206), 0)</f>
        <v>0</v>
      </c>
      <c r="K207" s="48"/>
      <c r="L207" s="48">
        <f>F207+H207+J207</f>
        <v>0</v>
      </c>
      <c r="M207" s="43"/>
    </row>
    <row r="208" spans="1:20" ht="20.100000000000001" customHeight="1">
      <c r="A208" s="149" t="s">
        <v>79</v>
      </c>
      <c r="B208" s="150"/>
      <c r="C208" s="150"/>
      <c r="D208" s="151"/>
      <c r="E208" s="151"/>
      <c r="F208" s="151"/>
      <c r="G208" s="151"/>
      <c r="H208" s="151"/>
      <c r="I208" s="151"/>
      <c r="J208" s="151"/>
      <c r="K208" s="151"/>
      <c r="L208" s="151"/>
      <c r="M208" s="150"/>
    </row>
    <row r="209" spans="1:13" ht="20.100000000000001" customHeight="1">
      <c r="A209" s="149" t="s">
        <v>123</v>
      </c>
      <c r="B209" s="150"/>
      <c r="C209" s="150"/>
      <c r="D209" s="151"/>
      <c r="E209" s="151"/>
      <c r="F209" s="151"/>
      <c r="G209" s="151"/>
      <c r="H209" s="151"/>
      <c r="I209" s="151"/>
      <c r="J209" s="151"/>
      <c r="K209" s="151"/>
      <c r="L209" s="151"/>
      <c r="M209" s="150"/>
    </row>
    <row r="210" spans="1:13" ht="20.100000000000001" customHeight="1">
      <c r="A210" s="149" t="s">
        <v>153</v>
      </c>
      <c r="B210" s="150"/>
      <c r="C210" s="150"/>
      <c r="D210" s="151"/>
      <c r="E210" s="151"/>
      <c r="F210" s="151"/>
      <c r="G210" s="151"/>
      <c r="H210" s="151"/>
      <c r="I210" s="151"/>
      <c r="J210" s="151"/>
      <c r="K210" s="151"/>
      <c r="L210" s="151"/>
      <c r="M210" s="150"/>
    </row>
    <row r="211" spans="1:13" ht="20.100000000000001" customHeight="1">
      <c r="A211" s="149" t="s">
        <v>137</v>
      </c>
      <c r="B211" s="150"/>
      <c r="C211" s="150"/>
      <c r="D211" s="151"/>
      <c r="E211" s="151"/>
      <c r="F211" s="151"/>
      <c r="G211" s="151"/>
      <c r="H211" s="151"/>
      <c r="I211" s="151"/>
      <c r="J211" s="151"/>
      <c r="K211" s="151"/>
      <c r="L211" s="151"/>
      <c r="M211" s="150"/>
    </row>
    <row r="212" spans="1:13" ht="20.100000000000001" customHeight="1">
      <c r="A212" s="149" t="s">
        <v>138</v>
      </c>
      <c r="B212" s="150"/>
      <c r="C212" s="150"/>
      <c r="D212" s="151"/>
      <c r="E212" s="151"/>
      <c r="F212" s="151"/>
      <c r="G212" s="151"/>
      <c r="H212" s="151"/>
      <c r="I212" s="151"/>
      <c r="J212" s="151"/>
      <c r="K212" s="151"/>
      <c r="L212" s="151"/>
      <c r="M212" s="150"/>
    </row>
    <row r="213" spans="1:13" ht="20.100000000000001" customHeight="1">
      <c r="A213" s="149" t="s">
        <v>139</v>
      </c>
      <c r="B213" s="150"/>
      <c r="C213" s="150"/>
      <c r="D213" s="151"/>
      <c r="E213" s="151"/>
      <c r="F213" s="151"/>
      <c r="G213" s="151"/>
      <c r="H213" s="151"/>
      <c r="I213" s="151"/>
      <c r="J213" s="151"/>
      <c r="K213" s="151"/>
      <c r="L213" s="151"/>
      <c r="M213" s="150"/>
    </row>
    <row r="214" spans="1:13" ht="20.100000000000001" customHeight="1">
      <c r="A214" s="149" t="s">
        <v>154</v>
      </c>
      <c r="B214" s="150"/>
      <c r="C214" s="150"/>
      <c r="D214" s="151"/>
      <c r="E214" s="151"/>
      <c r="F214" s="151"/>
      <c r="G214" s="151"/>
      <c r="H214" s="151"/>
      <c r="I214" s="151"/>
      <c r="J214" s="151"/>
      <c r="K214" s="151"/>
      <c r="L214" s="151"/>
      <c r="M214" s="150"/>
    </row>
    <row r="215" spans="1:13" ht="20.100000000000001" customHeight="1">
      <c r="A215" s="149" t="s">
        <v>155</v>
      </c>
      <c r="B215" s="150"/>
      <c r="C215" s="150"/>
      <c r="D215" s="151"/>
      <c r="E215" s="151"/>
      <c r="F215" s="151"/>
      <c r="G215" s="151"/>
      <c r="H215" s="151"/>
      <c r="I215" s="151"/>
      <c r="J215" s="151"/>
      <c r="K215" s="151"/>
      <c r="L215" s="151"/>
      <c r="M215" s="150"/>
    </row>
    <row r="216" spans="1:13" ht="20.100000000000001" customHeight="1">
      <c r="A216" s="149" t="s">
        <v>156</v>
      </c>
      <c r="B216" s="150"/>
      <c r="C216" s="150"/>
      <c r="D216" s="151"/>
      <c r="E216" s="151"/>
      <c r="F216" s="151"/>
      <c r="G216" s="151"/>
      <c r="H216" s="151"/>
      <c r="I216" s="151"/>
      <c r="J216" s="151"/>
      <c r="K216" s="151"/>
      <c r="L216" s="151"/>
      <c r="M216" s="150"/>
    </row>
    <row r="217" spans="1:13" ht="20.100000000000001" customHeight="1">
      <c r="A217" s="150"/>
      <c r="B217" s="150"/>
      <c r="C217" s="150"/>
      <c r="D217" s="151"/>
      <c r="E217" s="151"/>
      <c r="F217" s="151"/>
      <c r="G217" s="151"/>
      <c r="H217" s="151"/>
      <c r="I217" s="151"/>
      <c r="J217" s="151"/>
      <c r="K217" s="151"/>
      <c r="L217" s="151"/>
      <c r="M217" s="150"/>
    </row>
    <row r="218" spans="1:13" ht="20.100000000000001" customHeight="1">
      <c r="A218" s="150"/>
      <c r="B218" s="150"/>
      <c r="C218" s="150"/>
      <c r="D218" s="151"/>
      <c r="E218" s="151"/>
      <c r="F218" s="151"/>
      <c r="G218" s="151"/>
      <c r="H218" s="151"/>
      <c r="I218" s="151"/>
      <c r="J218" s="151"/>
      <c r="K218" s="151"/>
      <c r="L218" s="151"/>
      <c r="M218" s="150"/>
    </row>
    <row r="219" spans="1:13" ht="20.100000000000001" customHeight="1">
      <c r="A219" s="149" t="s">
        <v>85</v>
      </c>
      <c r="B219" s="150"/>
      <c r="C219" s="150"/>
      <c r="D219" s="151"/>
      <c r="E219" s="151"/>
      <c r="F219" s="151"/>
      <c r="G219" s="151"/>
      <c r="H219" s="151"/>
      <c r="I219" s="151"/>
      <c r="J219" s="151"/>
      <c r="K219" s="151"/>
      <c r="L219" s="151"/>
      <c r="M219" s="150"/>
    </row>
    <row r="220" spans="1:13" ht="20.100000000000001" customHeight="1">
      <c r="A220" s="149" t="s">
        <v>112</v>
      </c>
      <c r="B220" s="150"/>
      <c r="C220" s="150"/>
      <c r="D220" s="151"/>
      <c r="E220" s="151"/>
      <c r="F220" s="151"/>
      <c r="G220" s="151"/>
      <c r="H220" s="151"/>
      <c r="I220" s="151"/>
      <c r="J220" s="151"/>
      <c r="K220" s="151"/>
      <c r="L220" s="151"/>
      <c r="M220" s="150"/>
    </row>
    <row r="221" spans="1:13" ht="20.100000000000001" customHeight="1">
      <c r="A221" s="149" t="s">
        <v>153</v>
      </c>
      <c r="B221" s="150"/>
      <c r="C221" s="150"/>
      <c r="D221" s="151"/>
      <c r="E221" s="151"/>
      <c r="F221" s="151"/>
      <c r="G221" s="151"/>
      <c r="H221" s="151"/>
      <c r="I221" s="151"/>
      <c r="J221" s="151"/>
      <c r="K221" s="151"/>
      <c r="L221" s="151"/>
      <c r="M221" s="150"/>
    </row>
    <row r="222" spans="1:13" ht="20.100000000000001" customHeight="1">
      <c r="A222" s="149" t="s">
        <v>157</v>
      </c>
      <c r="B222" s="150"/>
      <c r="C222" s="150"/>
      <c r="D222" s="151"/>
      <c r="E222" s="151"/>
      <c r="F222" s="151"/>
      <c r="G222" s="151"/>
      <c r="H222" s="151"/>
      <c r="I222" s="151"/>
      <c r="J222" s="151"/>
      <c r="K222" s="151"/>
      <c r="L222" s="151"/>
      <c r="M222" s="150"/>
    </row>
    <row r="223" spans="1:13" ht="20.100000000000001" customHeight="1">
      <c r="A223" s="149" t="s">
        <v>158</v>
      </c>
      <c r="B223" s="150"/>
      <c r="C223" s="150"/>
      <c r="D223" s="151"/>
      <c r="E223" s="151"/>
      <c r="F223" s="151"/>
      <c r="G223" s="151"/>
      <c r="H223" s="151"/>
      <c r="I223" s="151"/>
      <c r="J223" s="151"/>
      <c r="K223" s="151"/>
      <c r="L223" s="151"/>
      <c r="M223" s="150"/>
    </row>
    <row r="224" spans="1:13" ht="20.100000000000001" customHeight="1">
      <c r="A224" s="149" t="s">
        <v>159</v>
      </c>
      <c r="B224" s="150"/>
      <c r="C224" s="150"/>
      <c r="D224" s="151"/>
      <c r="E224" s="151"/>
      <c r="F224" s="151"/>
      <c r="G224" s="151"/>
      <c r="H224" s="151"/>
      <c r="I224" s="151"/>
      <c r="J224" s="151"/>
      <c r="K224" s="151"/>
      <c r="L224" s="151"/>
      <c r="M224" s="150"/>
    </row>
    <row r="225" spans="1:20" ht="20.100000000000001" customHeight="1">
      <c r="A225" s="150"/>
      <c r="B225" s="150"/>
      <c r="C225" s="150"/>
      <c r="D225" s="151"/>
      <c r="E225" s="151"/>
      <c r="F225" s="151"/>
      <c r="G225" s="151"/>
      <c r="H225" s="151"/>
      <c r="I225" s="151"/>
      <c r="J225" s="151"/>
      <c r="K225" s="151"/>
      <c r="L225" s="151"/>
      <c r="M225" s="150"/>
    </row>
    <row r="226" spans="1:20" ht="20.100000000000001" customHeight="1">
      <c r="A226" s="150"/>
      <c r="B226" s="150"/>
      <c r="C226" s="150"/>
      <c r="D226" s="151"/>
      <c r="E226" s="151"/>
      <c r="F226" s="151"/>
      <c r="G226" s="151"/>
      <c r="H226" s="151"/>
      <c r="I226" s="151"/>
      <c r="J226" s="151"/>
      <c r="K226" s="151"/>
      <c r="L226" s="151"/>
      <c r="M226" s="150"/>
    </row>
    <row r="227" spans="1:20" ht="20.100000000000001" customHeight="1">
      <c r="A227" s="149" t="s">
        <v>89</v>
      </c>
      <c r="B227" s="150"/>
      <c r="C227" s="150"/>
      <c r="D227" s="151"/>
      <c r="E227" s="151"/>
      <c r="F227" s="151"/>
      <c r="G227" s="151"/>
      <c r="H227" s="151"/>
      <c r="I227" s="151"/>
      <c r="J227" s="151"/>
      <c r="K227" s="151"/>
      <c r="L227" s="151"/>
      <c r="M227" s="150"/>
    </row>
    <row r="228" spans="1:20" ht="20.100000000000001" customHeight="1">
      <c r="A228" s="149" t="s">
        <v>128</v>
      </c>
      <c r="B228" s="150"/>
      <c r="C228" s="150"/>
      <c r="D228" s="151"/>
      <c r="E228" s="151"/>
      <c r="F228" s="151"/>
      <c r="G228" s="151"/>
      <c r="H228" s="151"/>
      <c r="I228" s="151"/>
      <c r="J228" s="151"/>
      <c r="K228" s="151"/>
      <c r="L228" s="151"/>
      <c r="M228" s="150"/>
    </row>
    <row r="229" spans="1:20" ht="20.100000000000001" customHeight="1">
      <c r="A229" s="149" t="s">
        <v>160</v>
      </c>
      <c r="B229" s="150"/>
      <c r="C229" s="150"/>
      <c r="D229" s="151"/>
      <c r="E229" s="151"/>
      <c r="F229" s="151"/>
      <c r="G229" s="151"/>
      <c r="H229" s="151"/>
      <c r="I229" s="151"/>
      <c r="J229" s="151"/>
      <c r="K229" s="151"/>
      <c r="L229" s="151"/>
      <c r="M229" s="150"/>
    </row>
    <row r="230" spans="1:20" ht="20.100000000000001" customHeight="1">
      <c r="A230" s="39"/>
      <c r="B230" s="39"/>
      <c r="C230" s="46"/>
      <c r="D230" s="47"/>
      <c r="E230" s="47"/>
      <c r="F230" s="47"/>
      <c r="G230" s="47"/>
      <c r="H230" s="47"/>
      <c r="I230" s="47"/>
      <c r="J230" s="47"/>
      <c r="K230" s="47"/>
      <c r="L230" s="47"/>
      <c r="M230" s="39"/>
    </row>
    <row r="231" spans="1:20" ht="20.100000000000001" customHeight="1">
      <c r="A231" s="144" t="s">
        <v>161</v>
      </c>
      <c r="B231" s="145"/>
      <c r="C231" s="145"/>
      <c r="D231" s="146"/>
      <c r="E231" s="146"/>
      <c r="F231" s="146"/>
      <c r="G231" s="146"/>
      <c r="H231" s="146"/>
      <c r="I231" s="146"/>
      <c r="J231" s="146"/>
      <c r="K231" s="146"/>
      <c r="L231" s="146"/>
      <c r="M231" s="37" t="s">
        <v>162</v>
      </c>
    </row>
    <row r="232" spans="1:20" ht="20.100000000000001" customHeight="1">
      <c r="A232" s="38" t="s">
        <v>52</v>
      </c>
      <c r="B232" s="39"/>
      <c r="C232" s="40" t="s">
        <v>53</v>
      </c>
      <c r="D232" s="47"/>
      <c r="E232" s="47"/>
      <c r="F232" s="47">
        <f>ROUNDDOWN(D232*E232, 0)</f>
        <v>0</v>
      </c>
      <c r="G232" s="47"/>
      <c r="H232" s="47">
        <f>ROUNDDOWN(D232*G232, 0)</f>
        <v>0</v>
      </c>
      <c r="I232" s="47"/>
      <c r="J232" s="47">
        <f>ROUNDDOWN(D232*I232, 0)</f>
        <v>0</v>
      </c>
      <c r="K232" s="47">
        <f t="shared" ref="K232" si="13">E232+G232+I232</f>
        <v>0</v>
      </c>
      <c r="L232" s="47">
        <f t="shared" ref="L232" si="14">F232+H232+J232</f>
        <v>0</v>
      </c>
      <c r="M232" s="39"/>
    </row>
    <row r="233" spans="1:20" ht="20.100000000000001" customHeight="1">
      <c r="A233" s="38" t="s">
        <v>163</v>
      </c>
      <c r="B233" s="38" t="s">
        <v>164</v>
      </c>
      <c r="C233" s="40" t="s">
        <v>56</v>
      </c>
      <c r="D233" s="47"/>
      <c r="E233" s="47"/>
      <c r="F233" s="47"/>
      <c r="G233" s="47"/>
      <c r="H233" s="47"/>
      <c r="I233" s="47"/>
      <c r="J233" s="47"/>
      <c r="K233" s="47"/>
      <c r="L233" s="47"/>
      <c r="M233" s="38"/>
      <c r="O233" s="1" t="s">
        <v>58</v>
      </c>
      <c r="P233" s="1" t="s">
        <v>59</v>
      </c>
      <c r="Q233">
        <v>1</v>
      </c>
    </row>
    <row r="234" spans="1:20" ht="20.100000000000001" customHeight="1">
      <c r="A234" s="40" t="s">
        <v>63</v>
      </c>
      <c r="B234" s="39"/>
      <c r="C234" s="40" t="s">
        <v>53</v>
      </c>
      <c r="D234" s="47"/>
      <c r="E234" s="47"/>
      <c r="F234" s="47"/>
      <c r="G234" s="47"/>
      <c r="H234" s="47"/>
      <c r="I234" s="47"/>
      <c r="J234" s="47"/>
      <c r="K234" s="47"/>
      <c r="L234" s="47"/>
      <c r="M234" s="39"/>
    </row>
    <row r="235" spans="1:20" ht="20.100000000000001" customHeight="1">
      <c r="A235" s="38" t="s">
        <v>64</v>
      </c>
      <c r="B235" s="39"/>
      <c r="C235" s="40" t="s">
        <v>53</v>
      </c>
      <c r="D235" s="47"/>
      <c r="E235" s="47"/>
      <c r="F235" s="47"/>
      <c r="G235" s="47"/>
      <c r="H235" s="47"/>
      <c r="I235" s="47"/>
      <c r="J235" s="47"/>
      <c r="K235" s="47"/>
      <c r="L235" s="47"/>
      <c r="M235" s="39"/>
    </row>
    <row r="236" spans="1:20" ht="20.100000000000001" customHeight="1">
      <c r="A236" s="38" t="s">
        <v>65</v>
      </c>
      <c r="B236" s="38" t="s">
        <v>66</v>
      </c>
      <c r="C236" s="40" t="s">
        <v>67</v>
      </c>
      <c r="D236" s="47"/>
      <c r="E236" s="47"/>
      <c r="F236" s="47"/>
      <c r="G236" s="47"/>
      <c r="H236" s="47"/>
      <c r="I236" s="47"/>
      <c r="J236" s="47"/>
      <c r="K236" s="47"/>
      <c r="L236" s="47"/>
      <c r="M236" s="39"/>
      <c r="O236" s="1" t="s">
        <v>0</v>
      </c>
      <c r="P236" s="1" t="s">
        <v>59</v>
      </c>
      <c r="Q236">
        <v>1</v>
      </c>
    </row>
    <row r="237" spans="1:20" ht="20.100000000000001" customHeight="1">
      <c r="A237" s="38" t="s">
        <v>68</v>
      </c>
      <c r="B237" s="39" t="str">
        <f>"주연료비의 " &amp; N237*100 &amp; "%"</f>
        <v>주연료비의 13%</v>
      </c>
      <c r="C237" s="40" t="s">
        <v>1</v>
      </c>
      <c r="D237" s="47"/>
      <c r="E237" s="47"/>
      <c r="F237" s="47"/>
      <c r="G237" s="47"/>
      <c r="H237" s="47"/>
      <c r="I237" s="47"/>
      <c r="J237" s="47"/>
      <c r="K237" s="47"/>
      <c r="L237" s="47"/>
      <c r="M237" s="39"/>
      <c r="N237">
        <v>0.13</v>
      </c>
      <c r="P237" s="1" t="s">
        <v>59</v>
      </c>
      <c r="Q237">
        <v>1</v>
      </c>
      <c r="R237" s="1" t="s">
        <v>69</v>
      </c>
      <c r="S237" s="1" t="s">
        <v>70</v>
      </c>
      <c r="T237" s="1" t="s">
        <v>71</v>
      </c>
    </row>
    <row r="238" spans="1:20" ht="20.100000000000001" customHeight="1">
      <c r="A238" s="40" t="s">
        <v>63</v>
      </c>
      <c r="B238" s="39"/>
      <c r="C238" s="40" t="s">
        <v>53</v>
      </c>
      <c r="D238" s="47"/>
      <c r="E238" s="47"/>
      <c r="F238" s="47"/>
      <c r="G238" s="47"/>
      <c r="H238" s="47"/>
      <c r="I238" s="47"/>
      <c r="J238" s="47"/>
      <c r="K238" s="47"/>
      <c r="L238" s="47"/>
      <c r="M238" s="39"/>
    </row>
    <row r="239" spans="1:20" ht="20.100000000000001" customHeight="1">
      <c r="A239" s="38" t="s">
        <v>72</v>
      </c>
      <c r="B239" s="39"/>
      <c r="C239" s="40" t="s">
        <v>53</v>
      </c>
      <c r="D239" s="47"/>
      <c r="E239" s="47"/>
      <c r="F239" s="47"/>
      <c r="G239" s="47"/>
      <c r="H239" s="47"/>
      <c r="I239" s="47"/>
      <c r="J239" s="47"/>
      <c r="K239" s="47"/>
      <c r="L239" s="47"/>
      <c r="M239" s="39"/>
    </row>
    <row r="240" spans="1:20" ht="20.100000000000001" customHeight="1">
      <c r="A240" s="38" t="s">
        <v>73</v>
      </c>
      <c r="B240" s="38" t="s">
        <v>166</v>
      </c>
      <c r="C240" s="40" t="s">
        <v>75</v>
      </c>
      <c r="D240" s="47"/>
      <c r="E240" s="47"/>
      <c r="F240" s="47"/>
      <c r="G240" s="47"/>
      <c r="H240" s="47"/>
      <c r="I240" s="47"/>
      <c r="J240" s="47"/>
      <c r="K240" s="47"/>
      <c r="L240" s="47"/>
      <c r="M240" s="38"/>
      <c r="O240" s="1" t="s">
        <v>76</v>
      </c>
      <c r="P240" s="1" t="s">
        <v>59</v>
      </c>
      <c r="Q240">
        <v>1</v>
      </c>
    </row>
    <row r="241" spans="1:13" ht="20.100000000000001" customHeight="1">
      <c r="A241" s="40" t="s">
        <v>63</v>
      </c>
      <c r="B241" s="39"/>
      <c r="C241" s="40" t="s">
        <v>53</v>
      </c>
      <c r="D241" s="47"/>
      <c r="E241" s="47"/>
      <c r="F241" s="47"/>
      <c r="G241" s="47"/>
      <c r="H241" s="47"/>
      <c r="I241" s="47"/>
      <c r="J241" s="47"/>
      <c r="K241" s="47"/>
      <c r="L241" s="47"/>
      <c r="M241" s="39"/>
    </row>
    <row r="242" spans="1:13" ht="20.100000000000001" customHeight="1">
      <c r="A242" s="42" t="s">
        <v>31</v>
      </c>
      <c r="B242" s="43"/>
      <c r="C242" s="44"/>
      <c r="D242" s="48"/>
      <c r="E242" s="48"/>
      <c r="F242" s="48">
        <f>ROUNDDOWN(SUMIF(Q232:Q241, "1", F232:F241), 0)</f>
        <v>0</v>
      </c>
      <c r="G242" s="48"/>
      <c r="H242" s="48">
        <f>ROUNDDOWN(SUMIF(Q232:Q241, "1", H232:H241), 0)</f>
        <v>0</v>
      </c>
      <c r="I242" s="48"/>
      <c r="J242" s="48">
        <f>ROUNDDOWN(SUMIF(Q232:Q241, "1", J232:J241), 0)</f>
        <v>0</v>
      </c>
      <c r="K242" s="48"/>
      <c r="L242" s="48">
        <f>F242+H242+J242</f>
        <v>0</v>
      </c>
      <c r="M242" s="43"/>
    </row>
    <row r="243" spans="1:13" ht="20.100000000000001" customHeight="1">
      <c r="A243" s="149" t="s">
        <v>79</v>
      </c>
      <c r="B243" s="150"/>
      <c r="C243" s="150"/>
      <c r="D243" s="151"/>
      <c r="E243" s="151"/>
      <c r="F243" s="151"/>
      <c r="G243" s="151"/>
      <c r="H243" s="151"/>
      <c r="I243" s="151"/>
      <c r="J243" s="151"/>
      <c r="K243" s="151"/>
      <c r="L243" s="151"/>
      <c r="M243" s="150"/>
    </row>
    <row r="244" spans="1:13" ht="20.100000000000001" customHeight="1">
      <c r="A244" s="149" t="s">
        <v>168</v>
      </c>
      <c r="B244" s="150"/>
      <c r="C244" s="150"/>
      <c r="D244" s="151"/>
      <c r="E244" s="151"/>
      <c r="F244" s="151"/>
      <c r="G244" s="151"/>
      <c r="H244" s="151"/>
      <c r="I244" s="151"/>
      <c r="J244" s="151"/>
      <c r="K244" s="151"/>
      <c r="L244" s="151"/>
      <c r="M244" s="150"/>
    </row>
    <row r="245" spans="1:13" ht="20.100000000000001" customHeight="1">
      <c r="A245" s="149" t="s">
        <v>137</v>
      </c>
      <c r="B245" s="150"/>
      <c r="C245" s="150"/>
      <c r="D245" s="151"/>
      <c r="E245" s="151"/>
      <c r="F245" s="151"/>
      <c r="G245" s="151"/>
      <c r="H245" s="151"/>
      <c r="I245" s="151"/>
      <c r="J245" s="151"/>
      <c r="K245" s="151"/>
      <c r="L245" s="151"/>
      <c r="M245" s="150"/>
    </row>
    <row r="246" spans="1:13" ht="20.100000000000001" customHeight="1">
      <c r="A246" s="149" t="s">
        <v>138</v>
      </c>
      <c r="B246" s="150"/>
      <c r="C246" s="150"/>
      <c r="D246" s="151"/>
      <c r="E246" s="151"/>
      <c r="F246" s="151"/>
      <c r="G246" s="151"/>
      <c r="H246" s="151"/>
      <c r="I246" s="151"/>
      <c r="J246" s="151"/>
      <c r="K246" s="151"/>
      <c r="L246" s="151"/>
      <c r="M246" s="150"/>
    </row>
    <row r="247" spans="1:13" ht="20.100000000000001" customHeight="1">
      <c r="A247" s="149" t="s">
        <v>139</v>
      </c>
      <c r="B247" s="150"/>
      <c r="C247" s="150"/>
      <c r="D247" s="151"/>
      <c r="E247" s="151"/>
      <c r="F247" s="151"/>
      <c r="G247" s="151"/>
      <c r="H247" s="151"/>
      <c r="I247" s="151"/>
      <c r="J247" s="151"/>
      <c r="K247" s="151"/>
      <c r="L247" s="151"/>
      <c r="M247" s="150"/>
    </row>
    <row r="248" spans="1:13" ht="20.100000000000001" customHeight="1">
      <c r="A248" s="149" t="s">
        <v>169</v>
      </c>
      <c r="B248" s="150"/>
      <c r="C248" s="150"/>
      <c r="D248" s="151"/>
      <c r="E248" s="151"/>
      <c r="F248" s="151"/>
      <c r="G248" s="151"/>
      <c r="H248" s="151"/>
      <c r="I248" s="151"/>
      <c r="J248" s="151"/>
      <c r="K248" s="151"/>
      <c r="L248" s="151"/>
      <c r="M248" s="150"/>
    </row>
    <row r="249" spans="1:13" ht="20.100000000000001" customHeight="1">
      <c r="A249" s="150"/>
      <c r="B249" s="150"/>
      <c r="C249" s="150"/>
      <c r="D249" s="151"/>
      <c r="E249" s="151"/>
      <c r="F249" s="151"/>
      <c r="G249" s="151"/>
      <c r="H249" s="151"/>
      <c r="I249" s="151"/>
      <c r="J249" s="151"/>
      <c r="K249" s="151"/>
      <c r="L249" s="151"/>
      <c r="M249" s="150"/>
    </row>
    <row r="250" spans="1:13" ht="20.100000000000001" customHeight="1">
      <c r="A250" s="149" t="s">
        <v>85</v>
      </c>
      <c r="B250" s="150"/>
      <c r="C250" s="150"/>
      <c r="D250" s="151"/>
      <c r="E250" s="151"/>
      <c r="F250" s="151"/>
      <c r="G250" s="151"/>
      <c r="H250" s="151"/>
      <c r="I250" s="151"/>
      <c r="J250" s="151"/>
      <c r="K250" s="151"/>
      <c r="L250" s="151"/>
      <c r="M250" s="150"/>
    </row>
    <row r="251" spans="1:13" ht="20.100000000000001" customHeight="1">
      <c r="A251" s="149" t="s">
        <v>168</v>
      </c>
      <c r="B251" s="150"/>
      <c r="C251" s="150"/>
      <c r="D251" s="151"/>
      <c r="E251" s="151"/>
      <c r="F251" s="151"/>
      <c r="G251" s="151"/>
      <c r="H251" s="151"/>
      <c r="I251" s="151"/>
      <c r="J251" s="151"/>
      <c r="K251" s="151"/>
      <c r="L251" s="151"/>
      <c r="M251" s="150"/>
    </row>
    <row r="252" spans="1:13" ht="20.100000000000001" customHeight="1">
      <c r="A252" s="149" t="s">
        <v>143</v>
      </c>
      <c r="B252" s="150"/>
      <c r="C252" s="150"/>
      <c r="D252" s="151"/>
      <c r="E252" s="151"/>
      <c r="F252" s="151"/>
      <c r="G252" s="151"/>
      <c r="H252" s="151"/>
      <c r="I252" s="151"/>
      <c r="J252" s="151"/>
      <c r="K252" s="151"/>
      <c r="L252" s="151"/>
      <c r="M252" s="150"/>
    </row>
    <row r="253" spans="1:13" ht="20.100000000000001" customHeight="1">
      <c r="A253" s="149" t="s">
        <v>144</v>
      </c>
      <c r="B253" s="150"/>
      <c r="C253" s="150"/>
      <c r="D253" s="151"/>
      <c r="E253" s="151"/>
      <c r="F253" s="151"/>
      <c r="G253" s="151"/>
      <c r="H253" s="151"/>
      <c r="I253" s="151"/>
      <c r="J253" s="151"/>
      <c r="K253" s="151"/>
      <c r="L253" s="151"/>
      <c r="M253" s="150"/>
    </row>
    <row r="254" spans="1:13" ht="20.100000000000001" customHeight="1">
      <c r="A254" s="149" t="s">
        <v>170</v>
      </c>
      <c r="B254" s="150"/>
      <c r="C254" s="150"/>
      <c r="D254" s="151"/>
      <c r="E254" s="151"/>
      <c r="F254" s="151"/>
      <c r="G254" s="151"/>
      <c r="H254" s="151"/>
      <c r="I254" s="151"/>
      <c r="J254" s="151"/>
      <c r="K254" s="151"/>
      <c r="L254" s="151"/>
      <c r="M254" s="150"/>
    </row>
    <row r="255" spans="1:13" ht="20.100000000000001" customHeight="1">
      <c r="A255" s="150"/>
      <c r="B255" s="150"/>
      <c r="C255" s="150"/>
      <c r="D255" s="151"/>
      <c r="E255" s="151"/>
      <c r="F255" s="151"/>
      <c r="G255" s="151"/>
      <c r="H255" s="151"/>
      <c r="I255" s="151"/>
      <c r="J255" s="151"/>
      <c r="K255" s="151"/>
      <c r="L255" s="151"/>
      <c r="M255" s="150"/>
    </row>
    <row r="256" spans="1:13" ht="20.100000000000001" customHeight="1">
      <c r="A256" s="149" t="s">
        <v>89</v>
      </c>
      <c r="B256" s="150"/>
      <c r="C256" s="150"/>
      <c r="D256" s="151"/>
      <c r="E256" s="151"/>
      <c r="F256" s="151"/>
      <c r="G256" s="151"/>
      <c r="H256" s="151"/>
      <c r="I256" s="151"/>
      <c r="J256" s="151"/>
      <c r="K256" s="151"/>
      <c r="L256" s="151"/>
      <c r="M256" s="150"/>
    </row>
    <row r="257" spans="1:20" ht="20.100000000000001" customHeight="1">
      <c r="A257" s="149" t="s">
        <v>171</v>
      </c>
      <c r="B257" s="150"/>
      <c r="C257" s="150"/>
      <c r="D257" s="151"/>
      <c r="E257" s="151"/>
      <c r="F257" s="151"/>
      <c r="G257" s="151"/>
      <c r="H257" s="151"/>
      <c r="I257" s="151"/>
      <c r="J257" s="151"/>
      <c r="K257" s="151"/>
      <c r="L257" s="151"/>
      <c r="M257" s="150"/>
    </row>
    <row r="258" spans="1:20" ht="20.100000000000001" customHeight="1">
      <c r="A258" s="149" t="s">
        <v>172</v>
      </c>
      <c r="B258" s="150"/>
      <c r="C258" s="150"/>
      <c r="D258" s="151"/>
      <c r="E258" s="151"/>
      <c r="F258" s="151"/>
      <c r="G258" s="151"/>
      <c r="H258" s="151"/>
      <c r="I258" s="151"/>
      <c r="J258" s="151"/>
      <c r="K258" s="151"/>
      <c r="L258" s="151"/>
      <c r="M258" s="150"/>
    </row>
    <row r="259" spans="1:20" ht="20.100000000000001" customHeight="1">
      <c r="A259" s="39"/>
      <c r="B259" s="39"/>
      <c r="C259" s="46"/>
      <c r="D259" s="47"/>
      <c r="E259" s="47"/>
      <c r="F259" s="47"/>
      <c r="G259" s="47"/>
      <c r="H259" s="47"/>
      <c r="I259" s="47"/>
      <c r="J259" s="47"/>
      <c r="K259" s="47"/>
      <c r="L259" s="47"/>
      <c r="M259" s="39"/>
    </row>
    <row r="260" spans="1:20" ht="20.100000000000001" customHeight="1">
      <c r="A260" s="144" t="s">
        <v>173</v>
      </c>
      <c r="B260" s="145"/>
      <c r="C260" s="145"/>
      <c r="D260" s="146"/>
      <c r="E260" s="146"/>
      <c r="F260" s="146"/>
      <c r="G260" s="146"/>
      <c r="H260" s="146"/>
      <c r="I260" s="146"/>
      <c r="J260" s="146"/>
      <c r="K260" s="146"/>
      <c r="L260" s="146"/>
      <c r="M260" s="37" t="s">
        <v>174</v>
      </c>
    </row>
    <row r="261" spans="1:20" ht="20.100000000000001" customHeight="1">
      <c r="A261" s="38" t="s">
        <v>52</v>
      </c>
      <c r="B261" s="39"/>
      <c r="C261" s="40" t="s">
        <v>53</v>
      </c>
      <c r="D261" s="47"/>
      <c r="E261" s="47"/>
      <c r="F261" s="47">
        <f>ROUNDDOWN(D261*E261, 0)</f>
        <v>0</v>
      </c>
      <c r="G261" s="47"/>
      <c r="H261" s="47">
        <f>ROUNDDOWN(D261*G261, 0)</f>
        <v>0</v>
      </c>
      <c r="I261" s="47"/>
      <c r="J261" s="47">
        <f>ROUNDDOWN(D261*I261, 0)</f>
        <v>0</v>
      </c>
      <c r="K261" s="47">
        <f t="shared" ref="K261" si="15">E261+G261+I261</f>
        <v>0</v>
      </c>
      <c r="L261" s="47">
        <f t="shared" ref="L261" si="16">F261+H261+J261</f>
        <v>0</v>
      </c>
      <c r="M261" s="39"/>
    </row>
    <row r="262" spans="1:20" ht="20.100000000000001" customHeight="1">
      <c r="A262" s="38" t="s">
        <v>175</v>
      </c>
      <c r="B262" s="38" t="s">
        <v>176</v>
      </c>
      <c r="C262" s="40" t="s">
        <v>56</v>
      </c>
      <c r="D262" s="47"/>
      <c r="E262" s="47"/>
      <c r="F262" s="47"/>
      <c r="G262" s="47"/>
      <c r="H262" s="47"/>
      <c r="I262" s="47"/>
      <c r="J262" s="47"/>
      <c r="K262" s="47"/>
      <c r="L262" s="47"/>
      <c r="M262" s="38"/>
      <c r="O262" s="1" t="s">
        <v>58</v>
      </c>
      <c r="P262" s="1" t="s">
        <v>59</v>
      </c>
      <c r="Q262">
        <v>1</v>
      </c>
    </row>
    <row r="263" spans="1:20" ht="20.100000000000001" customHeight="1">
      <c r="A263" s="40" t="s">
        <v>63</v>
      </c>
      <c r="B263" s="39"/>
      <c r="C263" s="40" t="s">
        <v>53</v>
      </c>
      <c r="D263" s="47"/>
      <c r="E263" s="47"/>
      <c r="F263" s="47"/>
      <c r="G263" s="47"/>
      <c r="H263" s="47"/>
      <c r="I263" s="47"/>
      <c r="J263" s="47"/>
      <c r="K263" s="47"/>
      <c r="L263" s="47"/>
      <c r="M263" s="39"/>
    </row>
    <row r="264" spans="1:20" ht="20.100000000000001" customHeight="1">
      <c r="A264" s="38" t="s">
        <v>64</v>
      </c>
      <c r="B264" s="39"/>
      <c r="C264" s="40" t="s">
        <v>53</v>
      </c>
      <c r="D264" s="47"/>
      <c r="E264" s="47"/>
      <c r="F264" s="47"/>
      <c r="G264" s="47"/>
      <c r="H264" s="47"/>
      <c r="I264" s="47"/>
      <c r="J264" s="47"/>
      <c r="K264" s="47"/>
      <c r="L264" s="47"/>
      <c r="M264" s="39"/>
    </row>
    <row r="265" spans="1:20" ht="20.100000000000001" customHeight="1">
      <c r="A265" s="38" t="s">
        <v>121</v>
      </c>
      <c r="B265" s="38" t="s">
        <v>122</v>
      </c>
      <c r="C265" s="40" t="s">
        <v>67</v>
      </c>
      <c r="D265" s="47"/>
      <c r="E265" s="47"/>
      <c r="F265" s="47"/>
      <c r="G265" s="47"/>
      <c r="H265" s="47"/>
      <c r="I265" s="47"/>
      <c r="J265" s="47"/>
      <c r="K265" s="47"/>
      <c r="L265" s="47"/>
      <c r="M265" s="39"/>
      <c r="O265" s="1" t="s">
        <v>0</v>
      </c>
      <c r="P265" s="1" t="s">
        <v>59</v>
      </c>
      <c r="Q265">
        <v>1</v>
      </c>
    </row>
    <row r="266" spans="1:20" ht="20.100000000000001" customHeight="1">
      <c r="A266" s="38" t="s">
        <v>68</v>
      </c>
      <c r="B266" s="39" t="str">
        <f>"주연료비의 " &amp; N266*100 &amp; "%"</f>
        <v>주연료비의 20%</v>
      </c>
      <c r="C266" s="40" t="s">
        <v>1</v>
      </c>
      <c r="D266" s="47"/>
      <c r="E266" s="47"/>
      <c r="F266" s="47"/>
      <c r="G266" s="47"/>
      <c r="H266" s="47"/>
      <c r="I266" s="47"/>
      <c r="J266" s="47"/>
      <c r="K266" s="47"/>
      <c r="L266" s="47"/>
      <c r="M266" s="39"/>
      <c r="N266">
        <v>0.2</v>
      </c>
      <c r="P266" s="1" t="s">
        <v>59</v>
      </c>
      <c r="Q266">
        <v>1</v>
      </c>
      <c r="R266" s="1" t="s">
        <v>69</v>
      </c>
      <c r="S266" s="1" t="s">
        <v>70</v>
      </c>
      <c r="T266" s="1" t="s">
        <v>71</v>
      </c>
    </row>
    <row r="267" spans="1:20" ht="20.100000000000001" customHeight="1">
      <c r="A267" s="40" t="s">
        <v>63</v>
      </c>
      <c r="B267" s="39"/>
      <c r="C267" s="40" t="s">
        <v>53</v>
      </c>
      <c r="D267" s="47"/>
      <c r="E267" s="47"/>
      <c r="F267" s="47"/>
      <c r="G267" s="47"/>
      <c r="H267" s="47"/>
      <c r="I267" s="47"/>
      <c r="J267" s="47"/>
      <c r="K267" s="47"/>
      <c r="L267" s="47"/>
      <c r="M267" s="39"/>
    </row>
    <row r="268" spans="1:20" ht="20.100000000000001" customHeight="1">
      <c r="A268" s="38" t="s">
        <v>72</v>
      </c>
      <c r="B268" s="39"/>
      <c r="C268" s="40" t="s">
        <v>53</v>
      </c>
      <c r="D268" s="47"/>
      <c r="E268" s="47"/>
      <c r="F268" s="47"/>
      <c r="G268" s="47"/>
      <c r="H268" s="47"/>
      <c r="I268" s="47"/>
      <c r="J268" s="47"/>
      <c r="K268" s="47"/>
      <c r="L268" s="47"/>
      <c r="M268" s="39"/>
    </row>
    <row r="269" spans="1:20" ht="20.100000000000001" customHeight="1">
      <c r="A269" s="38" t="s">
        <v>73</v>
      </c>
      <c r="B269" s="38" t="s">
        <v>166</v>
      </c>
      <c r="C269" s="40" t="s">
        <v>75</v>
      </c>
      <c r="D269" s="47"/>
      <c r="E269" s="47"/>
      <c r="F269" s="47"/>
      <c r="G269" s="47"/>
      <c r="H269" s="47"/>
      <c r="I269" s="47"/>
      <c r="J269" s="47"/>
      <c r="K269" s="47"/>
      <c r="L269" s="47"/>
      <c r="M269" s="38"/>
      <c r="O269" s="1" t="s">
        <v>76</v>
      </c>
      <c r="P269" s="1" t="s">
        <v>59</v>
      </c>
      <c r="Q269">
        <v>1</v>
      </c>
    </row>
    <row r="270" spans="1:20" ht="20.100000000000001" customHeight="1">
      <c r="A270" s="40" t="s">
        <v>63</v>
      </c>
      <c r="B270" s="39"/>
      <c r="C270" s="40" t="s">
        <v>53</v>
      </c>
      <c r="D270" s="47"/>
      <c r="E270" s="47"/>
      <c r="F270" s="47"/>
      <c r="G270" s="47"/>
      <c r="H270" s="47"/>
      <c r="I270" s="47"/>
      <c r="J270" s="47"/>
      <c r="K270" s="47"/>
      <c r="L270" s="47"/>
      <c r="M270" s="39"/>
    </row>
    <row r="271" spans="1:20" ht="20.100000000000001" customHeight="1">
      <c r="A271" s="42" t="s">
        <v>31</v>
      </c>
      <c r="B271" s="43"/>
      <c r="C271" s="44"/>
      <c r="D271" s="48"/>
      <c r="E271" s="48"/>
      <c r="F271" s="48">
        <f>ROUNDDOWN(SUMIF(Q261:Q270, "1", F261:F270), 0)</f>
        <v>0</v>
      </c>
      <c r="G271" s="48"/>
      <c r="H271" s="48">
        <f>ROUNDDOWN(SUMIF(Q261:Q270, "1", H261:H270), 0)</f>
        <v>0</v>
      </c>
      <c r="I271" s="48"/>
      <c r="J271" s="48">
        <f>ROUNDDOWN(SUMIF(Q261:Q270, "1", J261:J270), 0)</f>
        <v>0</v>
      </c>
      <c r="K271" s="48"/>
      <c r="L271" s="48">
        <f>F271+H271+J271</f>
        <v>0</v>
      </c>
      <c r="M271" s="43"/>
    </row>
    <row r="272" spans="1:20" ht="20.100000000000001" customHeight="1">
      <c r="A272" s="149" t="s">
        <v>79</v>
      </c>
      <c r="B272" s="150"/>
      <c r="C272" s="150"/>
      <c r="D272" s="151"/>
      <c r="E272" s="151"/>
      <c r="F272" s="151"/>
      <c r="G272" s="151"/>
      <c r="H272" s="151"/>
      <c r="I272" s="151"/>
      <c r="J272" s="151"/>
      <c r="K272" s="151"/>
      <c r="L272" s="151"/>
      <c r="M272" s="150"/>
    </row>
    <row r="273" spans="1:13" ht="20.100000000000001" customHeight="1">
      <c r="A273" s="149" t="s">
        <v>178</v>
      </c>
      <c r="B273" s="150"/>
      <c r="C273" s="150"/>
      <c r="D273" s="151"/>
      <c r="E273" s="151"/>
      <c r="F273" s="151"/>
      <c r="G273" s="151"/>
      <c r="H273" s="151"/>
      <c r="I273" s="151"/>
      <c r="J273" s="151"/>
      <c r="K273" s="151"/>
      <c r="L273" s="151"/>
      <c r="M273" s="150"/>
    </row>
    <row r="274" spans="1:13" ht="20.100000000000001" customHeight="1">
      <c r="A274" s="149" t="s">
        <v>137</v>
      </c>
      <c r="B274" s="150"/>
      <c r="C274" s="150"/>
      <c r="D274" s="151"/>
      <c r="E274" s="151"/>
      <c r="F274" s="151"/>
      <c r="G274" s="151"/>
      <c r="H274" s="151"/>
      <c r="I274" s="151"/>
      <c r="J274" s="151"/>
      <c r="K274" s="151"/>
      <c r="L274" s="151"/>
      <c r="M274" s="150"/>
    </row>
    <row r="275" spans="1:13" ht="20.100000000000001" customHeight="1">
      <c r="A275" s="149" t="s">
        <v>138</v>
      </c>
      <c r="B275" s="150"/>
      <c r="C275" s="150"/>
      <c r="D275" s="151"/>
      <c r="E275" s="151"/>
      <c r="F275" s="151"/>
      <c r="G275" s="151"/>
      <c r="H275" s="151"/>
      <c r="I275" s="151"/>
      <c r="J275" s="151"/>
      <c r="K275" s="151"/>
      <c r="L275" s="151"/>
      <c r="M275" s="150"/>
    </row>
    <row r="276" spans="1:13" ht="20.100000000000001" customHeight="1">
      <c r="A276" s="149" t="s">
        <v>139</v>
      </c>
      <c r="B276" s="150"/>
      <c r="C276" s="150"/>
      <c r="D276" s="151"/>
      <c r="E276" s="151"/>
      <c r="F276" s="151"/>
      <c r="G276" s="151"/>
      <c r="H276" s="151"/>
      <c r="I276" s="151"/>
      <c r="J276" s="151"/>
      <c r="K276" s="151"/>
      <c r="L276" s="151"/>
      <c r="M276" s="150"/>
    </row>
    <row r="277" spans="1:13" ht="20.100000000000001" customHeight="1">
      <c r="A277" s="149" t="s">
        <v>179</v>
      </c>
      <c r="B277" s="150"/>
      <c r="C277" s="150"/>
      <c r="D277" s="151"/>
      <c r="E277" s="151"/>
      <c r="F277" s="151"/>
      <c r="G277" s="151"/>
      <c r="H277" s="151"/>
      <c r="I277" s="151"/>
      <c r="J277" s="151"/>
      <c r="K277" s="151"/>
      <c r="L277" s="151"/>
      <c r="M277" s="150"/>
    </row>
    <row r="278" spans="1:13" ht="20.100000000000001" customHeight="1">
      <c r="A278" s="150"/>
      <c r="B278" s="150"/>
      <c r="C278" s="150"/>
      <c r="D278" s="151"/>
      <c r="E278" s="151"/>
      <c r="F278" s="151"/>
      <c r="G278" s="151"/>
      <c r="H278" s="151"/>
      <c r="I278" s="151"/>
      <c r="J278" s="151"/>
      <c r="K278" s="151"/>
      <c r="L278" s="151"/>
      <c r="M278" s="150"/>
    </row>
    <row r="279" spans="1:13" ht="20.100000000000001" customHeight="1">
      <c r="A279" s="149" t="s">
        <v>85</v>
      </c>
      <c r="B279" s="150"/>
      <c r="C279" s="150"/>
      <c r="D279" s="151"/>
      <c r="E279" s="151"/>
      <c r="F279" s="151"/>
      <c r="G279" s="151"/>
      <c r="H279" s="151"/>
      <c r="I279" s="151"/>
      <c r="J279" s="151"/>
      <c r="K279" s="151"/>
      <c r="L279" s="151"/>
      <c r="M279" s="150"/>
    </row>
    <row r="280" spans="1:13" ht="20.100000000000001" customHeight="1">
      <c r="A280" s="149" t="s">
        <v>178</v>
      </c>
      <c r="B280" s="150"/>
      <c r="C280" s="150"/>
      <c r="D280" s="151"/>
      <c r="E280" s="151"/>
      <c r="F280" s="151"/>
      <c r="G280" s="151"/>
      <c r="H280" s="151"/>
      <c r="I280" s="151"/>
      <c r="J280" s="151"/>
      <c r="K280" s="151"/>
      <c r="L280" s="151"/>
      <c r="M280" s="150"/>
    </row>
    <row r="281" spans="1:13" ht="20.100000000000001" customHeight="1">
      <c r="A281" s="149" t="s">
        <v>143</v>
      </c>
      <c r="B281" s="150"/>
      <c r="C281" s="150"/>
      <c r="D281" s="151"/>
      <c r="E281" s="151"/>
      <c r="F281" s="151"/>
      <c r="G281" s="151"/>
      <c r="H281" s="151"/>
      <c r="I281" s="151"/>
      <c r="J281" s="151"/>
      <c r="K281" s="151"/>
      <c r="L281" s="151"/>
      <c r="M281" s="150"/>
    </row>
    <row r="282" spans="1:13" ht="20.100000000000001" customHeight="1">
      <c r="A282" s="149" t="s">
        <v>144</v>
      </c>
      <c r="B282" s="150"/>
      <c r="C282" s="150"/>
      <c r="D282" s="151"/>
      <c r="E282" s="151"/>
      <c r="F282" s="151"/>
      <c r="G282" s="151"/>
      <c r="H282" s="151"/>
      <c r="I282" s="151"/>
      <c r="J282" s="151"/>
      <c r="K282" s="151"/>
      <c r="L282" s="151"/>
      <c r="M282" s="150"/>
    </row>
    <row r="283" spans="1:13" ht="20.100000000000001" customHeight="1">
      <c r="A283" s="149" t="s">
        <v>180</v>
      </c>
      <c r="B283" s="150"/>
      <c r="C283" s="150"/>
      <c r="D283" s="151"/>
      <c r="E283" s="151"/>
      <c r="F283" s="151"/>
      <c r="G283" s="151"/>
      <c r="H283" s="151"/>
      <c r="I283" s="151"/>
      <c r="J283" s="151"/>
      <c r="K283" s="151"/>
      <c r="L283" s="151"/>
      <c r="M283" s="150"/>
    </row>
    <row r="284" spans="1:13" ht="20.100000000000001" customHeight="1">
      <c r="A284" s="150"/>
      <c r="B284" s="150"/>
      <c r="C284" s="150"/>
      <c r="D284" s="151"/>
      <c r="E284" s="151"/>
      <c r="F284" s="151"/>
      <c r="G284" s="151"/>
      <c r="H284" s="151"/>
      <c r="I284" s="151"/>
      <c r="J284" s="151"/>
      <c r="K284" s="151"/>
      <c r="L284" s="151"/>
      <c r="M284" s="150"/>
    </row>
    <row r="285" spans="1:13" ht="20.100000000000001" customHeight="1">
      <c r="A285" s="149" t="s">
        <v>89</v>
      </c>
      <c r="B285" s="150"/>
      <c r="C285" s="150"/>
      <c r="D285" s="151"/>
      <c r="E285" s="151"/>
      <c r="F285" s="151"/>
      <c r="G285" s="151"/>
      <c r="H285" s="151"/>
      <c r="I285" s="151"/>
      <c r="J285" s="151"/>
      <c r="K285" s="151"/>
      <c r="L285" s="151"/>
      <c r="M285" s="150"/>
    </row>
    <row r="286" spans="1:13" ht="20.100000000000001" customHeight="1">
      <c r="A286" s="149" t="s">
        <v>181</v>
      </c>
      <c r="B286" s="150"/>
      <c r="C286" s="150"/>
      <c r="D286" s="151"/>
      <c r="E286" s="151"/>
      <c r="F286" s="151"/>
      <c r="G286" s="151"/>
      <c r="H286" s="151"/>
      <c r="I286" s="151"/>
      <c r="J286" s="151"/>
      <c r="K286" s="151"/>
      <c r="L286" s="151"/>
      <c r="M286" s="150"/>
    </row>
    <row r="287" spans="1:13" ht="20.100000000000001" customHeight="1">
      <c r="A287" s="149" t="s">
        <v>182</v>
      </c>
      <c r="B287" s="150"/>
      <c r="C287" s="150"/>
      <c r="D287" s="151"/>
      <c r="E287" s="151"/>
      <c r="F287" s="151"/>
      <c r="G287" s="151"/>
      <c r="H287" s="151"/>
      <c r="I287" s="151"/>
      <c r="J287" s="151"/>
      <c r="K287" s="151"/>
      <c r="L287" s="151"/>
      <c r="M287" s="150"/>
    </row>
    <row r="288" spans="1:13" ht="20.100000000000001" customHeight="1">
      <c r="A288" s="150"/>
      <c r="B288" s="150"/>
      <c r="C288" s="150"/>
      <c r="D288" s="151"/>
      <c r="E288" s="151"/>
      <c r="F288" s="151"/>
      <c r="G288" s="151"/>
      <c r="H288" s="151"/>
      <c r="I288" s="151"/>
      <c r="J288" s="151"/>
      <c r="K288" s="151"/>
      <c r="L288" s="151"/>
      <c r="M288" s="150"/>
    </row>
    <row r="289" spans="1:20" ht="20.100000000000001" customHeight="1">
      <c r="A289" s="39"/>
      <c r="B289" s="39"/>
      <c r="C289" s="46"/>
      <c r="D289" s="47"/>
      <c r="E289" s="47"/>
      <c r="F289" s="47"/>
      <c r="G289" s="47"/>
      <c r="H289" s="47"/>
      <c r="I289" s="47"/>
      <c r="J289" s="47"/>
      <c r="K289" s="47"/>
      <c r="L289" s="47"/>
      <c r="M289" s="39"/>
    </row>
    <row r="290" spans="1:20" ht="20.100000000000001" customHeight="1">
      <c r="A290" s="144" t="s">
        <v>183</v>
      </c>
      <c r="B290" s="145"/>
      <c r="C290" s="145"/>
      <c r="D290" s="146"/>
      <c r="E290" s="146"/>
      <c r="F290" s="146"/>
      <c r="G290" s="146"/>
      <c r="H290" s="146"/>
      <c r="I290" s="146"/>
      <c r="J290" s="146"/>
      <c r="K290" s="146"/>
      <c r="L290" s="146"/>
      <c r="M290" s="37" t="s">
        <v>184</v>
      </c>
    </row>
    <row r="291" spans="1:20" ht="20.100000000000001" customHeight="1">
      <c r="A291" s="38" t="s">
        <v>52</v>
      </c>
      <c r="B291" s="39"/>
      <c r="C291" s="40" t="s">
        <v>53</v>
      </c>
      <c r="D291" s="47"/>
      <c r="E291" s="47"/>
      <c r="F291" s="47">
        <f>ROUNDDOWN(D291*E291, 0)</f>
        <v>0</v>
      </c>
      <c r="G291" s="47"/>
      <c r="H291" s="47">
        <f>ROUNDDOWN(D291*G291, 0)</f>
        <v>0</v>
      </c>
      <c r="I291" s="47"/>
      <c r="J291" s="47">
        <f>ROUNDDOWN(D291*I291, 0)</f>
        <v>0</v>
      </c>
      <c r="K291" s="47">
        <f t="shared" ref="K291" si="17">E291+G291+I291</f>
        <v>0</v>
      </c>
      <c r="L291" s="47">
        <f t="shared" ref="L291" si="18">F291+H291+J291</f>
        <v>0</v>
      </c>
      <c r="M291" s="39"/>
    </row>
    <row r="292" spans="1:20" ht="20.100000000000001" customHeight="1">
      <c r="A292" s="38" t="s">
        <v>185</v>
      </c>
      <c r="B292" s="38" t="s">
        <v>186</v>
      </c>
      <c r="C292" s="40" t="s">
        <v>56</v>
      </c>
      <c r="D292" s="47"/>
      <c r="E292" s="47"/>
      <c r="F292" s="47"/>
      <c r="G292" s="47"/>
      <c r="H292" s="47"/>
      <c r="I292" s="47"/>
      <c r="J292" s="47"/>
      <c r="K292" s="47"/>
      <c r="L292" s="47"/>
      <c r="M292" s="38"/>
      <c r="O292" s="1" t="s">
        <v>58</v>
      </c>
      <c r="P292" s="1" t="s">
        <v>59</v>
      </c>
      <c r="Q292">
        <v>1</v>
      </c>
    </row>
    <row r="293" spans="1:20" ht="20.100000000000001" customHeight="1">
      <c r="A293" s="40" t="s">
        <v>63</v>
      </c>
      <c r="B293" s="39"/>
      <c r="C293" s="40" t="s">
        <v>53</v>
      </c>
      <c r="D293" s="47"/>
      <c r="E293" s="47"/>
      <c r="F293" s="47"/>
      <c r="G293" s="47"/>
      <c r="H293" s="47"/>
      <c r="I293" s="47"/>
      <c r="J293" s="47"/>
      <c r="K293" s="47"/>
      <c r="L293" s="47"/>
      <c r="M293" s="39"/>
    </row>
    <row r="294" spans="1:20" ht="20.100000000000001" customHeight="1">
      <c r="A294" s="38" t="s">
        <v>64</v>
      </c>
      <c r="B294" s="39"/>
      <c r="C294" s="40" t="s">
        <v>53</v>
      </c>
      <c r="D294" s="47"/>
      <c r="E294" s="47"/>
      <c r="F294" s="47"/>
      <c r="G294" s="47"/>
      <c r="H294" s="47"/>
      <c r="I294" s="47"/>
      <c r="J294" s="47"/>
      <c r="K294" s="47"/>
      <c r="L294" s="47"/>
      <c r="M294" s="39"/>
    </row>
    <row r="295" spans="1:20" ht="20.100000000000001" customHeight="1">
      <c r="A295" s="38" t="s">
        <v>121</v>
      </c>
      <c r="B295" s="38" t="s">
        <v>122</v>
      </c>
      <c r="C295" s="40" t="s">
        <v>67</v>
      </c>
      <c r="D295" s="47"/>
      <c r="E295" s="47"/>
      <c r="F295" s="47"/>
      <c r="G295" s="47"/>
      <c r="H295" s="47"/>
      <c r="I295" s="47"/>
      <c r="J295" s="47"/>
      <c r="K295" s="47"/>
      <c r="L295" s="47"/>
      <c r="M295" s="39"/>
      <c r="O295" s="1" t="s">
        <v>0</v>
      </c>
      <c r="P295" s="1" t="s">
        <v>59</v>
      </c>
      <c r="Q295">
        <v>1</v>
      </c>
    </row>
    <row r="296" spans="1:20" ht="20.100000000000001" customHeight="1">
      <c r="A296" s="38" t="s">
        <v>68</v>
      </c>
      <c r="B296" s="39" t="str">
        <f>"주연료비의 " &amp; N296*100 &amp; "%"</f>
        <v>주연료비의 20%</v>
      </c>
      <c r="C296" s="40" t="s">
        <v>1</v>
      </c>
      <c r="D296" s="47"/>
      <c r="E296" s="47"/>
      <c r="F296" s="47"/>
      <c r="G296" s="47"/>
      <c r="H296" s="47"/>
      <c r="I296" s="47"/>
      <c r="J296" s="47"/>
      <c r="K296" s="47"/>
      <c r="L296" s="47"/>
      <c r="M296" s="39"/>
      <c r="N296">
        <v>0.2</v>
      </c>
      <c r="P296" s="1" t="s">
        <v>59</v>
      </c>
      <c r="Q296">
        <v>1</v>
      </c>
      <c r="R296" s="1" t="s">
        <v>69</v>
      </c>
      <c r="S296" s="1" t="s">
        <v>70</v>
      </c>
      <c r="T296" s="1" t="s">
        <v>71</v>
      </c>
    </row>
    <row r="297" spans="1:20" ht="20.100000000000001" customHeight="1">
      <c r="A297" s="40" t="s">
        <v>63</v>
      </c>
      <c r="B297" s="39"/>
      <c r="C297" s="40" t="s">
        <v>53</v>
      </c>
      <c r="D297" s="47"/>
      <c r="E297" s="47"/>
      <c r="F297" s="47"/>
      <c r="G297" s="47"/>
      <c r="H297" s="47"/>
      <c r="I297" s="47"/>
      <c r="J297" s="47"/>
      <c r="K297" s="47"/>
      <c r="L297" s="47"/>
      <c r="M297" s="39"/>
    </row>
    <row r="298" spans="1:20" ht="20.100000000000001" customHeight="1">
      <c r="A298" s="38" t="s">
        <v>72</v>
      </c>
      <c r="B298" s="39"/>
      <c r="C298" s="40" t="s">
        <v>53</v>
      </c>
      <c r="D298" s="47"/>
      <c r="E298" s="47"/>
      <c r="F298" s="47"/>
      <c r="G298" s="47"/>
      <c r="H298" s="47"/>
      <c r="I298" s="47"/>
      <c r="J298" s="47"/>
      <c r="K298" s="47"/>
      <c r="L298" s="47"/>
      <c r="M298" s="39"/>
    </row>
    <row r="299" spans="1:20" ht="20.100000000000001" customHeight="1">
      <c r="A299" s="38" t="s">
        <v>73</v>
      </c>
      <c r="B299" s="38" t="s">
        <v>166</v>
      </c>
      <c r="C299" s="40" t="s">
        <v>75</v>
      </c>
      <c r="D299" s="47"/>
      <c r="E299" s="47"/>
      <c r="F299" s="47"/>
      <c r="G299" s="47"/>
      <c r="H299" s="47"/>
      <c r="I299" s="47"/>
      <c r="J299" s="47"/>
      <c r="K299" s="47"/>
      <c r="L299" s="47"/>
      <c r="M299" s="38"/>
      <c r="O299" s="1" t="s">
        <v>76</v>
      </c>
      <c r="P299" s="1" t="s">
        <v>59</v>
      </c>
      <c r="Q299">
        <v>1</v>
      </c>
    </row>
    <row r="300" spans="1:20" ht="20.100000000000001" customHeight="1">
      <c r="A300" s="40" t="s">
        <v>63</v>
      </c>
      <c r="B300" s="39"/>
      <c r="C300" s="40" t="s">
        <v>53</v>
      </c>
      <c r="D300" s="47"/>
      <c r="E300" s="47"/>
      <c r="F300" s="47"/>
      <c r="G300" s="47"/>
      <c r="H300" s="47"/>
      <c r="I300" s="47"/>
      <c r="J300" s="47"/>
      <c r="K300" s="47"/>
      <c r="L300" s="47"/>
      <c r="M300" s="39"/>
    </row>
    <row r="301" spans="1:20" ht="20.100000000000001" customHeight="1">
      <c r="A301" s="42" t="s">
        <v>31</v>
      </c>
      <c r="B301" s="43"/>
      <c r="C301" s="44"/>
      <c r="D301" s="48"/>
      <c r="E301" s="48"/>
      <c r="F301" s="48">
        <f>ROUNDDOWN(SUMIF(Q291:Q300, "1", F291:F300), 0)</f>
        <v>0</v>
      </c>
      <c r="G301" s="48"/>
      <c r="H301" s="48">
        <f>ROUNDDOWN(SUMIF(Q291:Q300, "1", H291:H300), 0)</f>
        <v>0</v>
      </c>
      <c r="I301" s="48"/>
      <c r="J301" s="48">
        <f>ROUNDDOWN(SUMIF(Q291:Q300, "1", J291:J300), 0)</f>
        <v>0</v>
      </c>
      <c r="K301" s="48"/>
      <c r="L301" s="48">
        <f>F301+H301+J301</f>
        <v>0</v>
      </c>
      <c r="M301" s="43"/>
    </row>
    <row r="302" spans="1:20" ht="20.100000000000001" customHeight="1">
      <c r="A302" s="149" t="s">
        <v>79</v>
      </c>
      <c r="B302" s="150"/>
      <c r="C302" s="150"/>
      <c r="D302" s="151"/>
      <c r="E302" s="151"/>
      <c r="F302" s="151"/>
      <c r="G302" s="151"/>
      <c r="H302" s="151"/>
      <c r="I302" s="151"/>
      <c r="J302" s="151"/>
      <c r="K302" s="151"/>
      <c r="L302" s="151"/>
      <c r="M302" s="150"/>
    </row>
    <row r="303" spans="1:20" ht="20.100000000000001" customHeight="1">
      <c r="A303" s="149" t="s">
        <v>188</v>
      </c>
      <c r="B303" s="150"/>
      <c r="C303" s="150"/>
      <c r="D303" s="151"/>
      <c r="E303" s="151"/>
      <c r="F303" s="151"/>
      <c r="G303" s="151"/>
      <c r="H303" s="151"/>
      <c r="I303" s="151"/>
      <c r="J303" s="151"/>
      <c r="K303" s="151"/>
      <c r="L303" s="151"/>
      <c r="M303" s="150"/>
    </row>
    <row r="304" spans="1:20" ht="20.100000000000001" customHeight="1">
      <c r="A304" s="149" t="s">
        <v>189</v>
      </c>
      <c r="B304" s="150"/>
      <c r="C304" s="150"/>
      <c r="D304" s="151"/>
      <c r="E304" s="151"/>
      <c r="F304" s="151"/>
      <c r="G304" s="151"/>
      <c r="H304" s="151"/>
      <c r="I304" s="151"/>
      <c r="J304" s="151"/>
      <c r="K304" s="151"/>
      <c r="L304" s="151"/>
      <c r="M304" s="150"/>
    </row>
    <row r="305" spans="1:13" ht="20.100000000000001" customHeight="1">
      <c r="A305" s="149" t="s">
        <v>82</v>
      </c>
      <c r="B305" s="150"/>
      <c r="C305" s="150"/>
      <c r="D305" s="151"/>
      <c r="E305" s="151"/>
      <c r="F305" s="151"/>
      <c r="G305" s="151"/>
      <c r="H305" s="151"/>
      <c r="I305" s="151"/>
      <c r="J305" s="151"/>
      <c r="K305" s="151"/>
      <c r="L305" s="151"/>
      <c r="M305" s="150"/>
    </row>
    <row r="306" spans="1:13" ht="20.100000000000001" customHeight="1">
      <c r="A306" s="149" t="s">
        <v>190</v>
      </c>
      <c r="B306" s="150"/>
      <c r="C306" s="150"/>
      <c r="D306" s="151"/>
      <c r="E306" s="151"/>
      <c r="F306" s="151"/>
      <c r="G306" s="151"/>
      <c r="H306" s="151"/>
      <c r="I306" s="151"/>
      <c r="J306" s="151"/>
      <c r="K306" s="151"/>
      <c r="L306" s="151"/>
      <c r="M306" s="150"/>
    </row>
    <row r="307" spans="1:13" ht="20.100000000000001" customHeight="1">
      <c r="A307" s="149" t="s">
        <v>191</v>
      </c>
      <c r="B307" s="150"/>
      <c r="C307" s="150"/>
      <c r="D307" s="151"/>
      <c r="E307" s="151"/>
      <c r="F307" s="151"/>
      <c r="G307" s="151"/>
      <c r="H307" s="151"/>
      <c r="I307" s="151"/>
      <c r="J307" s="151"/>
      <c r="K307" s="151"/>
      <c r="L307" s="151"/>
      <c r="M307" s="150"/>
    </row>
    <row r="308" spans="1:13" ht="20.100000000000001" customHeight="1">
      <c r="A308" s="150"/>
      <c r="B308" s="150"/>
      <c r="C308" s="150"/>
      <c r="D308" s="151"/>
      <c r="E308" s="151"/>
      <c r="F308" s="151"/>
      <c r="G308" s="151"/>
      <c r="H308" s="151"/>
      <c r="I308" s="151"/>
      <c r="J308" s="151"/>
      <c r="K308" s="151"/>
      <c r="L308" s="151"/>
      <c r="M308" s="150"/>
    </row>
    <row r="309" spans="1:13" ht="20.100000000000001" customHeight="1">
      <c r="A309" s="149" t="s">
        <v>192</v>
      </c>
      <c r="B309" s="150"/>
      <c r="C309" s="150"/>
      <c r="D309" s="151"/>
      <c r="E309" s="151"/>
      <c r="F309" s="151"/>
      <c r="G309" s="151"/>
      <c r="H309" s="151"/>
      <c r="I309" s="151"/>
      <c r="J309" s="151"/>
      <c r="K309" s="151"/>
      <c r="L309" s="151"/>
      <c r="M309" s="150"/>
    </row>
    <row r="310" spans="1:13" ht="20.100000000000001" customHeight="1">
      <c r="A310" s="149" t="s">
        <v>193</v>
      </c>
      <c r="B310" s="150"/>
      <c r="C310" s="150"/>
      <c r="D310" s="151"/>
      <c r="E310" s="151"/>
      <c r="F310" s="151"/>
      <c r="G310" s="151"/>
      <c r="H310" s="151"/>
      <c r="I310" s="151"/>
      <c r="J310" s="151"/>
      <c r="K310" s="151"/>
      <c r="L310" s="151"/>
      <c r="M310" s="150"/>
    </row>
    <row r="311" spans="1:13" ht="20.100000000000001" customHeight="1">
      <c r="A311" s="150"/>
      <c r="B311" s="150"/>
      <c r="C311" s="150"/>
      <c r="D311" s="151"/>
      <c r="E311" s="151"/>
      <c r="F311" s="151"/>
      <c r="G311" s="151"/>
      <c r="H311" s="151"/>
      <c r="I311" s="151"/>
      <c r="J311" s="151"/>
      <c r="K311" s="151"/>
      <c r="L311" s="151"/>
      <c r="M311" s="150"/>
    </row>
    <row r="312" spans="1:13" ht="20.100000000000001" customHeight="1">
      <c r="A312" s="149" t="s">
        <v>85</v>
      </c>
      <c r="B312" s="150"/>
      <c r="C312" s="150"/>
      <c r="D312" s="151"/>
      <c r="E312" s="151"/>
      <c r="F312" s="151"/>
      <c r="G312" s="151"/>
      <c r="H312" s="151"/>
      <c r="I312" s="151"/>
      <c r="J312" s="151"/>
      <c r="K312" s="151"/>
      <c r="L312" s="151"/>
      <c r="M312" s="150"/>
    </row>
    <row r="313" spans="1:13" ht="20.100000000000001" customHeight="1">
      <c r="A313" s="149" t="s">
        <v>188</v>
      </c>
      <c r="B313" s="150"/>
      <c r="C313" s="150"/>
      <c r="D313" s="151"/>
      <c r="E313" s="151"/>
      <c r="F313" s="151"/>
      <c r="G313" s="151"/>
      <c r="H313" s="151"/>
      <c r="I313" s="151"/>
      <c r="J313" s="151"/>
      <c r="K313" s="151"/>
      <c r="L313" s="151"/>
      <c r="M313" s="150"/>
    </row>
    <row r="314" spans="1:13" ht="20.100000000000001" customHeight="1">
      <c r="A314" s="149" t="s">
        <v>86</v>
      </c>
      <c r="B314" s="150"/>
      <c r="C314" s="150"/>
      <c r="D314" s="151"/>
      <c r="E314" s="151"/>
      <c r="F314" s="151"/>
      <c r="G314" s="151"/>
      <c r="H314" s="151"/>
      <c r="I314" s="151"/>
      <c r="J314" s="151"/>
      <c r="K314" s="151"/>
      <c r="L314" s="151"/>
      <c r="M314" s="150"/>
    </row>
    <row r="315" spans="1:13" ht="20.100000000000001" customHeight="1">
      <c r="A315" s="149" t="s">
        <v>87</v>
      </c>
      <c r="B315" s="150"/>
      <c r="C315" s="150"/>
      <c r="D315" s="151"/>
      <c r="E315" s="151"/>
      <c r="F315" s="151"/>
      <c r="G315" s="151"/>
      <c r="H315" s="151"/>
      <c r="I315" s="151"/>
      <c r="J315" s="151"/>
      <c r="K315" s="151"/>
      <c r="L315" s="151"/>
      <c r="M315" s="150"/>
    </row>
    <row r="316" spans="1:13" ht="20.100000000000001" customHeight="1">
      <c r="A316" s="149" t="s">
        <v>194</v>
      </c>
      <c r="B316" s="150"/>
      <c r="C316" s="150"/>
      <c r="D316" s="151"/>
      <c r="E316" s="151"/>
      <c r="F316" s="151"/>
      <c r="G316" s="151"/>
      <c r="H316" s="151"/>
      <c r="I316" s="151"/>
      <c r="J316" s="151"/>
      <c r="K316" s="151"/>
      <c r="L316" s="151"/>
      <c r="M316" s="150"/>
    </row>
    <row r="317" spans="1:13" ht="20.100000000000001" customHeight="1">
      <c r="A317" s="150"/>
      <c r="B317" s="150"/>
      <c r="C317" s="150"/>
      <c r="D317" s="151"/>
      <c r="E317" s="151"/>
      <c r="F317" s="151"/>
      <c r="G317" s="151"/>
      <c r="H317" s="151"/>
      <c r="I317" s="151"/>
      <c r="J317" s="151"/>
      <c r="K317" s="151"/>
      <c r="L317" s="151"/>
      <c r="M317" s="150"/>
    </row>
    <row r="318" spans="1:13" ht="20.100000000000001" customHeight="1">
      <c r="A318" s="149" t="s">
        <v>89</v>
      </c>
      <c r="B318" s="150"/>
      <c r="C318" s="150"/>
      <c r="D318" s="151"/>
      <c r="E318" s="151"/>
      <c r="F318" s="151"/>
      <c r="G318" s="151"/>
      <c r="H318" s="151"/>
      <c r="I318" s="151"/>
      <c r="J318" s="151"/>
      <c r="K318" s="151"/>
      <c r="L318" s="151"/>
      <c r="M318" s="150"/>
    </row>
    <row r="319" spans="1:13" ht="20.100000000000001" customHeight="1">
      <c r="A319" s="149" t="s">
        <v>195</v>
      </c>
      <c r="B319" s="150"/>
      <c r="C319" s="150"/>
      <c r="D319" s="151"/>
      <c r="E319" s="151"/>
      <c r="F319" s="151"/>
      <c r="G319" s="151"/>
      <c r="H319" s="151"/>
      <c r="I319" s="151"/>
      <c r="J319" s="151"/>
      <c r="K319" s="151"/>
      <c r="L319" s="151"/>
      <c r="M319" s="150"/>
    </row>
    <row r="320" spans="1:13" ht="20.100000000000001" customHeight="1">
      <c r="A320" s="149" t="s">
        <v>196</v>
      </c>
      <c r="B320" s="150"/>
      <c r="C320" s="150"/>
      <c r="D320" s="151"/>
      <c r="E320" s="151"/>
      <c r="F320" s="151"/>
      <c r="G320" s="151"/>
      <c r="H320" s="151"/>
      <c r="I320" s="151"/>
      <c r="J320" s="151"/>
      <c r="K320" s="151"/>
      <c r="L320" s="151"/>
      <c r="M320" s="150"/>
    </row>
    <row r="321" spans="1:13" ht="20.100000000000001" customHeight="1">
      <c r="A321" s="39"/>
      <c r="B321" s="39"/>
      <c r="C321" s="46"/>
      <c r="D321" s="47"/>
      <c r="E321" s="47"/>
      <c r="F321" s="47"/>
      <c r="G321" s="47"/>
      <c r="H321" s="47"/>
      <c r="I321" s="47"/>
      <c r="J321" s="47"/>
      <c r="K321" s="47"/>
      <c r="L321" s="47"/>
      <c r="M321" s="39"/>
    </row>
    <row r="322" spans="1:13" ht="20.100000000000001" customHeight="1">
      <c r="A322" s="39"/>
      <c r="B322" s="39"/>
      <c r="C322" s="46"/>
      <c r="D322" s="47"/>
      <c r="E322" s="47"/>
      <c r="F322" s="47"/>
      <c r="G322" s="47"/>
      <c r="H322" s="47"/>
      <c r="I322" s="47"/>
      <c r="J322" s="47"/>
      <c r="K322" s="47"/>
      <c r="L322" s="47"/>
      <c r="M322" s="39"/>
    </row>
    <row r="323" spans="1:13" ht="20.100000000000001" customHeight="1">
      <c r="A323" s="39"/>
      <c r="B323" s="39"/>
      <c r="C323" s="46"/>
      <c r="D323" s="47"/>
      <c r="E323" s="47"/>
      <c r="F323" s="47"/>
      <c r="G323" s="47"/>
      <c r="H323" s="47"/>
      <c r="I323" s="47"/>
      <c r="J323" s="47"/>
      <c r="K323" s="47"/>
      <c r="L323" s="47"/>
      <c r="M323" s="39"/>
    </row>
    <row r="324" spans="1:13" ht="20.100000000000001" customHeight="1">
      <c r="A324" s="39"/>
      <c r="B324" s="39"/>
      <c r="C324" s="46"/>
      <c r="D324" s="47"/>
      <c r="E324" s="47"/>
      <c r="F324" s="47"/>
      <c r="G324" s="47"/>
      <c r="H324" s="47"/>
      <c r="I324" s="47"/>
      <c r="J324" s="47"/>
      <c r="K324" s="47"/>
      <c r="L324" s="47"/>
      <c r="M324" s="39"/>
    </row>
  </sheetData>
  <mergeCells count="209">
    <mergeCell ref="K3:L3"/>
    <mergeCell ref="A5:L5"/>
    <mergeCell ref="A19:L19"/>
    <mergeCell ref="A31:M31"/>
    <mergeCell ref="A32:M32"/>
    <mergeCell ref="A33:M33"/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A40:M40"/>
    <mergeCell ref="A41:M41"/>
    <mergeCell ref="A42:M42"/>
    <mergeCell ref="A43:M43"/>
    <mergeCell ref="A44:M44"/>
    <mergeCell ref="A45:M45"/>
    <mergeCell ref="A34:M34"/>
    <mergeCell ref="A35:M35"/>
    <mergeCell ref="A36:M36"/>
    <mergeCell ref="A37:M37"/>
    <mergeCell ref="A38:M38"/>
    <mergeCell ref="A39:M39"/>
    <mergeCell ref="A52:M52"/>
    <mergeCell ref="A53:M53"/>
    <mergeCell ref="A54:M54"/>
    <mergeCell ref="A55:M55"/>
    <mergeCell ref="A56:M56"/>
    <mergeCell ref="A57:M57"/>
    <mergeCell ref="A46:M46"/>
    <mergeCell ref="A47:M47"/>
    <mergeCell ref="A48:M48"/>
    <mergeCell ref="A49:M49"/>
    <mergeCell ref="A50:M50"/>
    <mergeCell ref="A51:M51"/>
    <mergeCell ref="A76:M76"/>
    <mergeCell ref="A77:M77"/>
    <mergeCell ref="A78:M78"/>
    <mergeCell ref="A79:M79"/>
    <mergeCell ref="A80:M80"/>
    <mergeCell ref="A81:M81"/>
    <mergeCell ref="A58:M58"/>
    <mergeCell ref="A59:M59"/>
    <mergeCell ref="A60:M60"/>
    <mergeCell ref="A61:M61"/>
    <mergeCell ref="A63:L63"/>
    <mergeCell ref="A75:M75"/>
    <mergeCell ref="A88:M88"/>
    <mergeCell ref="A89:M89"/>
    <mergeCell ref="A90:M90"/>
    <mergeCell ref="A91:M91"/>
    <mergeCell ref="A92:M92"/>
    <mergeCell ref="A93:M93"/>
    <mergeCell ref="A82:M82"/>
    <mergeCell ref="A83:M83"/>
    <mergeCell ref="A84:M84"/>
    <mergeCell ref="A85:M85"/>
    <mergeCell ref="A86:M86"/>
    <mergeCell ref="A87:M87"/>
    <mergeCell ref="A100:M100"/>
    <mergeCell ref="A101:M101"/>
    <mergeCell ref="A102:M102"/>
    <mergeCell ref="A103:M103"/>
    <mergeCell ref="A104:M104"/>
    <mergeCell ref="A105:M105"/>
    <mergeCell ref="A94:M94"/>
    <mergeCell ref="A95:M95"/>
    <mergeCell ref="A96:M96"/>
    <mergeCell ref="A97:M97"/>
    <mergeCell ref="A98:M98"/>
    <mergeCell ref="A99:M99"/>
    <mergeCell ref="A125:M125"/>
    <mergeCell ref="A126:M126"/>
    <mergeCell ref="A127:M127"/>
    <mergeCell ref="A128:M128"/>
    <mergeCell ref="A129:M129"/>
    <mergeCell ref="A131:L131"/>
    <mergeCell ref="A107:L107"/>
    <mergeCell ref="A120:M120"/>
    <mergeCell ref="A121:M121"/>
    <mergeCell ref="A122:M122"/>
    <mergeCell ref="A123:M123"/>
    <mergeCell ref="A124:M124"/>
    <mergeCell ref="A146:M146"/>
    <mergeCell ref="A147:M147"/>
    <mergeCell ref="A148:M148"/>
    <mergeCell ref="A149:M149"/>
    <mergeCell ref="A150:M150"/>
    <mergeCell ref="A151:M151"/>
    <mergeCell ref="A140:M140"/>
    <mergeCell ref="A141:M141"/>
    <mergeCell ref="A142:M142"/>
    <mergeCell ref="A143:M143"/>
    <mergeCell ref="A144:M144"/>
    <mergeCell ref="A145:M145"/>
    <mergeCell ref="A158:M158"/>
    <mergeCell ref="A159:M159"/>
    <mergeCell ref="A160:M160"/>
    <mergeCell ref="A161:M161"/>
    <mergeCell ref="A162:M162"/>
    <mergeCell ref="A164:L164"/>
    <mergeCell ref="A152:M152"/>
    <mergeCell ref="A153:M153"/>
    <mergeCell ref="A154:M154"/>
    <mergeCell ref="A155:M155"/>
    <mergeCell ref="A156:M156"/>
    <mergeCell ref="A157:M157"/>
    <mergeCell ref="A182:M182"/>
    <mergeCell ref="A183:M183"/>
    <mergeCell ref="A184:M184"/>
    <mergeCell ref="A185:M185"/>
    <mergeCell ref="A186:M186"/>
    <mergeCell ref="A187:M187"/>
    <mergeCell ref="A176:M176"/>
    <mergeCell ref="A177:M177"/>
    <mergeCell ref="A178:M178"/>
    <mergeCell ref="A179:M179"/>
    <mergeCell ref="A180:M180"/>
    <mergeCell ref="A181:M181"/>
    <mergeCell ref="A194:M194"/>
    <mergeCell ref="A196:L196"/>
    <mergeCell ref="A208:M208"/>
    <mergeCell ref="A209:M209"/>
    <mergeCell ref="A210:M210"/>
    <mergeCell ref="A211:M211"/>
    <mergeCell ref="A188:M188"/>
    <mergeCell ref="A189:M189"/>
    <mergeCell ref="A190:M190"/>
    <mergeCell ref="A191:M191"/>
    <mergeCell ref="A192:M192"/>
    <mergeCell ref="A193:M193"/>
    <mergeCell ref="A218:M218"/>
    <mergeCell ref="A219:M219"/>
    <mergeCell ref="A220:M220"/>
    <mergeCell ref="A221:M221"/>
    <mergeCell ref="A222:M222"/>
    <mergeCell ref="A223:M223"/>
    <mergeCell ref="A212:M212"/>
    <mergeCell ref="A213:M213"/>
    <mergeCell ref="A214:M214"/>
    <mergeCell ref="A215:M215"/>
    <mergeCell ref="A216:M216"/>
    <mergeCell ref="A217:M217"/>
    <mergeCell ref="A231:L231"/>
    <mergeCell ref="A243:M243"/>
    <mergeCell ref="A244:M244"/>
    <mergeCell ref="A245:M245"/>
    <mergeCell ref="A246:M246"/>
    <mergeCell ref="A247:M247"/>
    <mergeCell ref="A224:M224"/>
    <mergeCell ref="A225:M225"/>
    <mergeCell ref="A226:M226"/>
    <mergeCell ref="A227:M227"/>
    <mergeCell ref="A228:M228"/>
    <mergeCell ref="A229:M229"/>
    <mergeCell ref="A254:M254"/>
    <mergeCell ref="A255:M255"/>
    <mergeCell ref="A256:M256"/>
    <mergeCell ref="A257:M257"/>
    <mergeCell ref="A258:M258"/>
    <mergeCell ref="A260:L260"/>
    <mergeCell ref="A248:M248"/>
    <mergeCell ref="A249:M249"/>
    <mergeCell ref="A250:M250"/>
    <mergeCell ref="A251:M251"/>
    <mergeCell ref="A252:M252"/>
    <mergeCell ref="A253:M253"/>
    <mergeCell ref="A278:M278"/>
    <mergeCell ref="A279:M279"/>
    <mergeCell ref="A280:M280"/>
    <mergeCell ref="A281:M281"/>
    <mergeCell ref="A282:M282"/>
    <mergeCell ref="A283:M283"/>
    <mergeCell ref="A272:M272"/>
    <mergeCell ref="A273:M273"/>
    <mergeCell ref="A274:M274"/>
    <mergeCell ref="A275:M275"/>
    <mergeCell ref="A276:M276"/>
    <mergeCell ref="A277:M277"/>
    <mergeCell ref="A302:M302"/>
    <mergeCell ref="A303:M303"/>
    <mergeCell ref="A304:M304"/>
    <mergeCell ref="A305:M305"/>
    <mergeCell ref="A306:M306"/>
    <mergeCell ref="A307:M307"/>
    <mergeCell ref="A284:M284"/>
    <mergeCell ref="A285:M285"/>
    <mergeCell ref="A286:M286"/>
    <mergeCell ref="A287:M287"/>
    <mergeCell ref="A288:M288"/>
    <mergeCell ref="A290:L290"/>
    <mergeCell ref="A320:M320"/>
    <mergeCell ref="A314:M314"/>
    <mergeCell ref="A315:M315"/>
    <mergeCell ref="A316:M316"/>
    <mergeCell ref="A317:M317"/>
    <mergeCell ref="A318:M318"/>
    <mergeCell ref="A319:M319"/>
    <mergeCell ref="A308:M308"/>
    <mergeCell ref="A309:M309"/>
    <mergeCell ref="A310:M310"/>
    <mergeCell ref="A311:M311"/>
    <mergeCell ref="A312:M312"/>
    <mergeCell ref="A313:M313"/>
  </mergeCells>
  <phoneticPr fontId="1" type="noConversion"/>
  <conditionalFormatting sqref="A6:M324 A5 M5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G23"/>
  <sheetViews>
    <sheetView showZeros="0" view="pageBreakPreview" zoomScale="50" zoomScaleNormal="50" zoomScaleSheetLayoutView="70" workbookViewId="0">
      <selection activeCell="E242" sqref="E242"/>
    </sheetView>
  </sheetViews>
  <sheetFormatPr defaultRowHeight="38.25" customHeight="1"/>
  <cols>
    <col min="1" max="1" width="143.125" style="90" customWidth="1"/>
    <col min="2" max="2" width="7.25" style="90" customWidth="1"/>
    <col min="3" max="3" width="6.125" style="90" customWidth="1"/>
    <col min="4" max="4" width="11.75" style="92" customWidth="1"/>
    <col min="5" max="5" width="7" style="93" customWidth="1"/>
    <col min="6" max="6" width="7.875" style="87" customWidth="1"/>
    <col min="7" max="7" width="2.25" style="87" customWidth="1"/>
    <col min="8" max="10" width="10.5" style="87" customWidth="1"/>
    <col min="11" max="11" width="23.625" style="87" customWidth="1"/>
    <col min="12" max="160" width="9" style="87"/>
    <col min="161" max="16384" width="9" style="88"/>
  </cols>
  <sheetData>
    <row r="1" spans="1:163" ht="38.25" customHeight="1">
      <c r="A1" s="83"/>
      <c r="B1" s="83"/>
      <c r="C1" s="83"/>
      <c r="D1" s="84"/>
      <c r="E1" s="85"/>
      <c r="F1" s="86"/>
      <c r="G1" s="86"/>
      <c r="H1" s="86"/>
      <c r="I1" s="86"/>
      <c r="J1" s="86"/>
      <c r="K1" s="86"/>
    </row>
    <row r="2" spans="1:163" ht="39.75" customHeight="1">
      <c r="A2" s="83"/>
      <c r="B2" s="83"/>
      <c r="C2" s="83"/>
      <c r="D2" s="84"/>
      <c r="E2" s="85"/>
      <c r="F2" s="86"/>
      <c r="G2" s="86"/>
      <c r="H2" s="86"/>
      <c r="I2" s="86"/>
      <c r="J2" s="86"/>
      <c r="K2" s="86"/>
    </row>
    <row r="3" spans="1:163" ht="144" customHeight="1">
      <c r="A3" s="110" t="str">
        <f>표지!A3</f>
        <v>삼성라이온즈볼파크 옥외급수시설 개선 기계설비공사</v>
      </c>
      <c r="B3" s="111"/>
      <c r="C3" s="111"/>
      <c r="D3" s="111"/>
      <c r="E3" s="111"/>
      <c r="F3" s="111"/>
      <c r="G3" s="111"/>
      <c r="H3" s="111"/>
      <c r="I3" s="112"/>
      <c r="J3" s="112"/>
      <c r="K3" s="112"/>
    </row>
    <row r="4" spans="1:163" ht="39.950000000000003" customHeight="1">
      <c r="A4" s="106"/>
      <c r="B4" s="107"/>
      <c r="C4" s="107"/>
      <c r="D4" s="107"/>
      <c r="E4" s="107"/>
      <c r="F4" s="107"/>
      <c r="G4" s="107"/>
      <c r="H4" s="107"/>
      <c r="I4" s="108"/>
      <c r="J4" s="108"/>
      <c r="K4" s="108"/>
    </row>
    <row r="5" spans="1:163" ht="55.5" customHeight="1">
      <c r="A5" s="106" t="s">
        <v>532</v>
      </c>
      <c r="B5" s="107"/>
      <c r="C5" s="107"/>
      <c r="D5" s="107"/>
      <c r="E5" s="107"/>
      <c r="F5" s="107"/>
      <c r="G5" s="107"/>
      <c r="H5" s="107"/>
      <c r="I5" s="108"/>
      <c r="J5" s="108"/>
      <c r="K5" s="108"/>
    </row>
    <row r="6" spans="1:163" ht="39.950000000000003" customHeight="1">
      <c r="A6" s="83"/>
      <c r="B6" s="89"/>
      <c r="C6" s="83"/>
      <c r="D6" s="84"/>
      <c r="E6" s="85"/>
      <c r="F6" s="86"/>
      <c r="G6" s="86"/>
      <c r="H6" s="86"/>
      <c r="I6" s="86"/>
      <c r="J6" s="86"/>
      <c r="K6" s="86"/>
    </row>
    <row r="7" spans="1:163" ht="45.75" customHeight="1">
      <c r="A7" s="83"/>
      <c r="B7" s="89"/>
      <c r="C7" s="83"/>
      <c r="D7" s="84"/>
      <c r="E7" s="85"/>
      <c r="F7" s="86"/>
      <c r="G7" s="86"/>
      <c r="H7" s="86"/>
      <c r="I7" s="86"/>
      <c r="J7" s="86"/>
      <c r="K7" s="86"/>
    </row>
    <row r="8" spans="1:163" ht="261.75" customHeight="1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63" ht="42" customHeight="1">
      <c r="A9" s="106"/>
      <c r="B9" s="109"/>
      <c r="C9" s="109"/>
      <c r="D9" s="109"/>
      <c r="E9" s="109"/>
      <c r="F9" s="109"/>
      <c r="G9" s="109"/>
      <c r="H9" s="109"/>
    </row>
    <row r="10" spans="1:163" ht="42" customHeight="1">
      <c r="A10" s="106"/>
      <c r="B10" s="109"/>
      <c r="C10" s="109"/>
      <c r="D10" s="109"/>
      <c r="E10" s="109"/>
      <c r="F10" s="109"/>
      <c r="G10" s="109"/>
      <c r="H10" s="109"/>
    </row>
    <row r="11" spans="1:163" ht="49.5" customHeight="1">
      <c r="A11" s="105" t="str">
        <f>표지!A11</f>
        <v>2025 , 10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FE11" s="87"/>
      <c r="FF11" s="87"/>
      <c r="FG11" s="87"/>
    </row>
    <row r="12" spans="1:163" ht="39.950000000000003" customHeight="1">
      <c r="A12" s="83"/>
      <c r="B12" s="89"/>
      <c r="C12" s="83"/>
      <c r="D12" s="84"/>
      <c r="E12" s="85"/>
      <c r="F12" s="86"/>
      <c r="G12" s="86"/>
      <c r="H12" s="86"/>
      <c r="I12" s="86"/>
      <c r="J12" s="86"/>
      <c r="K12" s="86"/>
    </row>
    <row r="13" spans="1:163" ht="39.950000000000003" customHeight="1">
      <c r="A13" s="83"/>
      <c r="B13" s="89"/>
      <c r="C13" s="83"/>
      <c r="D13" s="84"/>
      <c r="E13" s="85"/>
      <c r="F13" s="86"/>
      <c r="G13" s="86"/>
      <c r="H13" s="86"/>
      <c r="I13" s="86"/>
      <c r="J13" s="86"/>
      <c r="K13" s="86"/>
    </row>
    <row r="14" spans="1:163" ht="55.5" customHeight="1">
      <c r="A14" s="106">
        <f>표지!A14</f>
        <v>0</v>
      </c>
      <c r="B14" s="107"/>
      <c r="C14" s="107"/>
      <c r="D14" s="107"/>
      <c r="E14" s="107"/>
      <c r="F14" s="107"/>
      <c r="G14" s="107"/>
      <c r="H14" s="107"/>
      <c r="I14" s="108"/>
      <c r="J14" s="108"/>
      <c r="K14" s="108"/>
    </row>
    <row r="15" spans="1:163" ht="39.950000000000003" customHeight="1">
      <c r="A15" s="83"/>
      <c r="B15" s="89"/>
      <c r="C15" s="83"/>
      <c r="D15" s="84"/>
      <c r="E15" s="85"/>
      <c r="F15" s="86"/>
      <c r="G15" s="86"/>
      <c r="H15" s="86"/>
      <c r="I15" s="86"/>
      <c r="J15" s="86"/>
      <c r="K15" s="86"/>
    </row>
    <row r="16" spans="1:163" ht="42" customHeight="1">
      <c r="A16" s="106"/>
      <c r="B16" s="109"/>
      <c r="C16" s="109"/>
      <c r="D16" s="109"/>
      <c r="E16" s="109"/>
      <c r="F16" s="109"/>
      <c r="G16" s="109"/>
      <c r="H16" s="109"/>
    </row>
    <row r="17" spans="2:2" ht="42" customHeight="1">
      <c r="B17" s="91"/>
    </row>
    <row r="18" spans="2:2" ht="85.5" customHeight="1">
      <c r="B18" s="91"/>
    </row>
    <row r="19" spans="2:2" ht="85.5" customHeight="1">
      <c r="B19" s="91"/>
    </row>
    <row r="20" spans="2:2" ht="38.25" customHeight="1">
      <c r="B20" s="91"/>
    </row>
    <row r="21" spans="2:2" ht="38.25" customHeight="1">
      <c r="B21" s="91"/>
    </row>
    <row r="22" spans="2:2" ht="38.25" customHeight="1">
      <c r="B22" s="94"/>
    </row>
    <row r="23" spans="2:2" ht="38.25" customHeight="1">
      <c r="B23" s="95"/>
    </row>
  </sheetData>
  <mergeCells count="9">
    <mergeCell ref="A11:K11"/>
    <mergeCell ref="A14:K14"/>
    <mergeCell ref="A16:H16"/>
    <mergeCell ref="A3:K3"/>
    <mergeCell ref="A4:K4"/>
    <mergeCell ref="A5:K5"/>
    <mergeCell ref="A8:K8"/>
    <mergeCell ref="A9:H9"/>
    <mergeCell ref="A10:H10"/>
  </mergeCells>
  <phoneticPr fontId="1" type="noConversion"/>
  <printOptions horizontalCentered="1" verticalCentered="1"/>
  <pageMargins left="0.2" right="3.937007874015748E-2" top="0.26" bottom="0.19685039370078741" header="0.44" footer="0.35433070866141736"/>
  <pageSetup paperSize="9" scale="55" pageOrder="overThenDown" orientation="landscape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S61"/>
  <sheetViews>
    <sheetView view="pageBreakPreview" zoomScaleNormal="130" zoomScaleSheetLayoutView="100" workbookViewId="0">
      <selection activeCell="Y20" sqref="Y20"/>
    </sheetView>
  </sheetViews>
  <sheetFormatPr defaultRowHeight="10.5"/>
  <cols>
    <col min="1" max="2" width="20.75" style="70" customWidth="1"/>
    <col min="3" max="17" width="4.625" style="70" customWidth="1"/>
    <col min="18" max="19" width="6" style="70" customWidth="1"/>
    <col min="20" max="24" width="1.625" style="70" customWidth="1"/>
    <col min="25" max="16384" width="9" style="70"/>
  </cols>
  <sheetData>
    <row r="1" spans="1:19" ht="25.5">
      <c r="A1" s="152" t="s">
        <v>489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spans="1:19" ht="15.6" customHeight="1">
      <c r="A2" s="70" t="s">
        <v>490</v>
      </c>
    </row>
    <row r="3" spans="1:19" ht="15.6" customHeight="1">
      <c r="A3" s="153" t="s">
        <v>491</v>
      </c>
      <c r="B3" s="153" t="s">
        <v>492</v>
      </c>
      <c r="C3" s="153" t="s">
        <v>9</v>
      </c>
      <c r="D3" s="153" t="s">
        <v>493</v>
      </c>
      <c r="E3" s="153" t="s">
        <v>494</v>
      </c>
      <c r="F3" s="153" t="s">
        <v>495</v>
      </c>
      <c r="G3" s="153"/>
      <c r="H3" s="153"/>
      <c r="I3" s="153"/>
      <c r="J3" s="153"/>
      <c r="K3" s="153"/>
      <c r="L3" s="153"/>
      <c r="M3" s="153"/>
      <c r="N3" s="153"/>
      <c r="O3" s="153"/>
      <c r="P3" s="153" t="s">
        <v>201</v>
      </c>
      <c r="Q3" s="153" t="s">
        <v>496</v>
      </c>
      <c r="R3" s="153" t="s">
        <v>497</v>
      </c>
      <c r="S3" s="153" t="s">
        <v>14</v>
      </c>
    </row>
    <row r="4" spans="1:19" ht="15.6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</row>
    <row r="5" spans="1:19" ht="15.6" customHeight="1">
      <c r="A5" s="49" t="s">
        <v>22</v>
      </c>
      <c r="B5" s="49" t="s">
        <v>544</v>
      </c>
      <c r="C5" s="71" t="s">
        <v>23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 ht="15.6" customHeight="1">
      <c r="A6" s="49" t="s">
        <v>24</v>
      </c>
      <c r="B6" s="49" t="s">
        <v>545</v>
      </c>
      <c r="C6" s="71" t="s">
        <v>23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pans="1:19" ht="15.6" customHeight="1">
      <c r="A7" s="49" t="s">
        <v>22</v>
      </c>
      <c r="B7" s="49" t="s">
        <v>543</v>
      </c>
      <c r="C7" s="71" t="s">
        <v>23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t="15.6" customHeight="1">
      <c r="A8" s="49" t="s">
        <v>412</v>
      </c>
      <c r="B8" s="49" t="s">
        <v>546</v>
      </c>
      <c r="C8" s="71" t="s">
        <v>23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19" ht="15.6" customHeight="1">
      <c r="A9" s="49" t="s">
        <v>412</v>
      </c>
      <c r="B9" s="49" t="s">
        <v>556</v>
      </c>
      <c r="C9" s="71" t="s">
        <v>23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pans="1:19" ht="15.6" customHeight="1">
      <c r="A10" s="49" t="s">
        <v>352</v>
      </c>
      <c r="B10" s="49" t="s">
        <v>561</v>
      </c>
      <c r="C10" s="71" t="s">
        <v>27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19" ht="15.6" customHeight="1">
      <c r="A11" s="49" t="s">
        <v>352</v>
      </c>
      <c r="B11" s="49" t="s">
        <v>553</v>
      </c>
      <c r="C11" s="71" t="s">
        <v>27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</row>
    <row r="12" spans="1:19" ht="15.6" customHeight="1">
      <c r="A12" s="49" t="s">
        <v>352</v>
      </c>
      <c r="B12" s="49" t="s">
        <v>562</v>
      </c>
      <c r="C12" s="71" t="s">
        <v>27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ht="15.6" customHeight="1">
      <c r="A13" s="49" t="s">
        <v>352</v>
      </c>
      <c r="B13" s="49" t="s">
        <v>563</v>
      </c>
      <c r="C13" s="71" t="s">
        <v>27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1:19" ht="15.6" customHeight="1">
      <c r="A14" s="49" t="s">
        <v>418</v>
      </c>
      <c r="B14" s="49" t="s">
        <v>564</v>
      </c>
      <c r="C14" s="71" t="s">
        <v>416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pans="1:19" ht="15.6" customHeight="1">
      <c r="A15" s="49" t="s">
        <v>418</v>
      </c>
      <c r="B15" s="49" t="s">
        <v>552</v>
      </c>
      <c r="C15" s="71" t="s">
        <v>416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19" ht="15.6" customHeight="1">
      <c r="A16" s="49" t="s">
        <v>375</v>
      </c>
      <c r="B16" s="49" t="s">
        <v>557</v>
      </c>
      <c r="C16" s="71" t="s">
        <v>346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19" ht="15.6" customHeight="1">
      <c r="A17" s="49" t="s">
        <v>375</v>
      </c>
      <c r="B17" s="49" t="s">
        <v>565</v>
      </c>
      <c r="C17" s="71" t="s">
        <v>346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 ht="15.6" customHeight="1">
      <c r="A18" s="49" t="s">
        <v>373</v>
      </c>
      <c r="B18" s="49" t="s">
        <v>558</v>
      </c>
      <c r="C18" s="71" t="s">
        <v>346</v>
      </c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 ht="15.6" customHeight="1">
      <c r="A19" s="49" t="s">
        <v>373</v>
      </c>
      <c r="B19" s="49" t="s">
        <v>567</v>
      </c>
      <c r="C19" s="71" t="s">
        <v>346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19" ht="15.6" customHeight="1">
      <c r="A20" s="49" t="s">
        <v>344</v>
      </c>
      <c r="B20" s="49" t="s">
        <v>345</v>
      </c>
      <c r="C20" s="71" t="s">
        <v>346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 ht="15.6" customHeight="1">
      <c r="A21" s="49" t="s">
        <v>347</v>
      </c>
      <c r="B21" s="49" t="s">
        <v>349</v>
      </c>
      <c r="C21" s="71" t="s">
        <v>27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 ht="15.6" customHeight="1">
      <c r="A22" s="49" t="s">
        <v>347</v>
      </c>
      <c r="B22" s="49" t="s">
        <v>348</v>
      </c>
      <c r="C22" s="71" t="s">
        <v>27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 ht="15.6" customHeight="1">
      <c r="A23" s="49" t="s">
        <v>347</v>
      </c>
      <c r="B23" s="49" t="s">
        <v>351</v>
      </c>
      <c r="C23" s="71" t="s">
        <v>27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 ht="15.6" customHeight="1">
      <c r="A24" s="49" t="s">
        <v>347</v>
      </c>
      <c r="B24" s="49" t="s">
        <v>350</v>
      </c>
      <c r="C24" s="71" t="s">
        <v>27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5.6" customHeight="1">
      <c r="A25" s="49" t="s">
        <v>25</v>
      </c>
      <c r="B25" s="49" t="s">
        <v>26</v>
      </c>
      <c r="C25" s="71" t="s">
        <v>27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5.6" customHeight="1">
      <c r="A26" s="49" t="s">
        <v>28</v>
      </c>
      <c r="B26" s="49" t="s">
        <v>568</v>
      </c>
      <c r="C26" s="71" t="s">
        <v>27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5.6" customHeight="1">
      <c r="A27" s="49" t="s">
        <v>28</v>
      </c>
      <c r="B27" s="49" t="s">
        <v>569</v>
      </c>
      <c r="C27" s="71" t="s">
        <v>27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5.6" customHeight="1">
      <c r="A28" s="49" t="s">
        <v>29</v>
      </c>
      <c r="B28" s="49" t="s">
        <v>30</v>
      </c>
      <c r="C28" s="71" t="s">
        <v>27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5.6" customHeight="1">
      <c r="A29" s="49" t="s">
        <v>370</v>
      </c>
      <c r="B29" s="49" t="s">
        <v>371</v>
      </c>
      <c r="C29" s="71" t="s">
        <v>372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15.6" customHeight="1">
      <c r="A30" s="49" t="s">
        <v>367</v>
      </c>
      <c r="B30" s="49" t="s">
        <v>368</v>
      </c>
      <c r="C30" s="71" t="s">
        <v>27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 ht="15.6" customHeight="1">
      <c r="A31" s="49" t="s">
        <v>415</v>
      </c>
      <c r="B31" s="49" t="s">
        <v>337</v>
      </c>
      <c r="C31" s="71" t="s">
        <v>416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 ht="15.6" customHeight="1">
      <c r="A32" s="70" t="s">
        <v>490</v>
      </c>
    </row>
    <row r="33" spans="1:19" ht="15.6" customHeight="1">
      <c r="A33" s="153" t="s">
        <v>491</v>
      </c>
      <c r="B33" s="153" t="s">
        <v>492</v>
      </c>
      <c r="C33" s="153" t="s">
        <v>9</v>
      </c>
      <c r="D33" s="153" t="s">
        <v>493</v>
      </c>
      <c r="E33" s="153" t="s">
        <v>494</v>
      </c>
      <c r="F33" s="153" t="s">
        <v>495</v>
      </c>
      <c r="G33" s="153"/>
      <c r="H33" s="153"/>
      <c r="I33" s="153"/>
      <c r="J33" s="153"/>
      <c r="K33" s="153"/>
      <c r="L33" s="153"/>
      <c r="M33" s="153"/>
      <c r="N33" s="153"/>
      <c r="O33" s="153"/>
      <c r="P33" s="153" t="s">
        <v>201</v>
      </c>
      <c r="Q33" s="153" t="s">
        <v>496</v>
      </c>
      <c r="R33" s="153" t="s">
        <v>497</v>
      </c>
      <c r="S33" s="153" t="s">
        <v>14</v>
      </c>
    </row>
    <row r="34" spans="1:19" ht="15.6" customHeight="1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</row>
    <row r="35" spans="1:19" ht="15.6" customHeight="1">
      <c r="A35" s="49" t="s">
        <v>319</v>
      </c>
      <c r="B35" s="49"/>
      <c r="C35" s="71" t="s">
        <v>23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 ht="15.6" customHeight="1">
      <c r="A36" s="49" t="s">
        <v>421</v>
      </c>
      <c r="B36" s="49" t="s">
        <v>422</v>
      </c>
      <c r="C36" s="71" t="s">
        <v>423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 ht="15.6" customHeight="1">
      <c r="A37" s="49" t="s">
        <v>321</v>
      </c>
      <c r="B37" s="49" t="s">
        <v>322</v>
      </c>
      <c r="C37" s="71" t="s">
        <v>315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 ht="15.6" customHeight="1">
      <c r="A38" s="49" t="s">
        <v>357</v>
      </c>
      <c r="B38" s="49" t="s">
        <v>358</v>
      </c>
      <c r="C38" s="71" t="s">
        <v>359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ht="15.6" customHeight="1">
      <c r="A39" s="49" t="s">
        <v>317</v>
      </c>
      <c r="B39" s="49" t="s">
        <v>314</v>
      </c>
      <c r="C39" s="71" t="s">
        <v>315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ht="15.6" customHeight="1">
      <c r="A40" s="49" t="s">
        <v>313</v>
      </c>
      <c r="B40" s="49" t="s">
        <v>314</v>
      </c>
      <c r="C40" s="71" t="s">
        <v>315</v>
      </c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ht="15.6" customHeight="1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1:19" ht="15.6" customHeigh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1:19" ht="15.6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1:19" ht="15.6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1:19" ht="15.6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1:19" ht="15.6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1:19" ht="15.6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1:19" ht="15.6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spans="1:19" ht="15.6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1:19" ht="15.6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spans="1:19" ht="15.6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  <row r="52" spans="1:19" ht="15.6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spans="1:19" ht="15.6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</row>
    <row r="54" spans="1:19" ht="15.6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spans="1:19" ht="15.6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spans="1:19" ht="15.6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57" spans="1:19" ht="15.6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</row>
    <row r="58" spans="1:19" ht="15.6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spans="1:19" ht="15.6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spans="1:19" ht="15.6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</row>
    <row r="61" spans="1:19" ht="15.6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</row>
  </sheetData>
  <mergeCells count="39">
    <mergeCell ref="S33:S34"/>
    <mergeCell ref="M33:M34"/>
    <mergeCell ref="N33:N34"/>
    <mergeCell ref="O33:O34"/>
    <mergeCell ref="P33:P34"/>
    <mergeCell ref="Q33:Q34"/>
    <mergeCell ref="R33:R34"/>
    <mergeCell ref="A33:A34"/>
    <mergeCell ref="B33:B34"/>
    <mergeCell ref="C33:C34"/>
    <mergeCell ref="D33:D34"/>
    <mergeCell ref="E33:E34"/>
    <mergeCell ref="F33:F34"/>
    <mergeCell ref="J3:J4"/>
    <mergeCell ref="K3:K4"/>
    <mergeCell ref="L3:L4"/>
    <mergeCell ref="M3:M4"/>
    <mergeCell ref="L33:L34"/>
    <mergeCell ref="G33:G34"/>
    <mergeCell ref="H33:H34"/>
    <mergeCell ref="I33:I34"/>
    <mergeCell ref="J33:J34"/>
    <mergeCell ref="K33:K34"/>
    <mergeCell ref="A1:S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N3:N4"/>
    <mergeCell ref="O3:O4"/>
  </mergeCells>
  <phoneticPr fontId="1" type="noConversion"/>
  <pageMargins left="0.78740157480314965" right="0.39370078740157483" top="0.6692913385826772" bottom="0.59055118110236227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K96"/>
  <sheetViews>
    <sheetView view="pageBreakPreview" topLeftCell="A4" zoomScale="130" zoomScaleNormal="130" zoomScaleSheetLayoutView="130" workbookViewId="0">
      <selection activeCell="E69" sqref="E69:E92"/>
    </sheetView>
  </sheetViews>
  <sheetFormatPr defaultRowHeight="9.75"/>
  <cols>
    <col min="1" max="1" width="26.25" style="73" customWidth="1"/>
    <col min="2" max="2" width="22.25" style="73" customWidth="1"/>
    <col min="3" max="3" width="4" style="74" customWidth="1"/>
    <col min="4" max="4" width="6.375" style="74" customWidth="1"/>
    <col min="5" max="5" width="32.5" style="82" customWidth="1"/>
    <col min="6" max="9" width="5.125" style="74" customWidth="1"/>
    <col min="10" max="10" width="7.5" style="74" customWidth="1"/>
    <col min="11" max="11" width="4" style="74" customWidth="1"/>
    <col min="12" max="16" width="1.625" style="74" customWidth="1"/>
    <col min="17" max="16384" width="9" style="74"/>
  </cols>
  <sheetData>
    <row r="1" spans="1:11" ht="15.6" customHeight="1">
      <c r="A1" s="73" t="s">
        <v>490</v>
      </c>
      <c r="E1" s="74"/>
    </row>
    <row r="2" spans="1:11" ht="15.6" customHeight="1">
      <c r="A2" s="155" t="s">
        <v>498</v>
      </c>
      <c r="B2" s="155" t="s">
        <v>499</v>
      </c>
      <c r="C2" s="156" t="s">
        <v>9</v>
      </c>
      <c r="D2" s="156" t="s">
        <v>500</v>
      </c>
      <c r="E2" s="156" t="s">
        <v>501</v>
      </c>
      <c r="F2" s="156" t="s">
        <v>201</v>
      </c>
      <c r="G2" s="156" t="s">
        <v>416</v>
      </c>
      <c r="H2" s="156" t="s">
        <v>502</v>
      </c>
      <c r="I2" s="156" t="s">
        <v>503</v>
      </c>
      <c r="J2" s="156" t="s">
        <v>497</v>
      </c>
      <c r="K2" s="156" t="s">
        <v>14</v>
      </c>
    </row>
    <row r="3" spans="1:11" ht="15.6" customHeight="1">
      <c r="A3" s="155"/>
      <c r="B3" s="155"/>
      <c r="C3" s="156"/>
      <c r="D3" s="156"/>
      <c r="E3" s="156"/>
      <c r="F3" s="156"/>
      <c r="G3" s="156"/>
      <c r="H3" s="156"/>
      <c r="I3" s="156"/>
      <c r="J3" s="156"/>
      <c r="K3" s="156"/>
    </row>
    <row r="4" spans="1:11" ht="15.6" customHeight="1">
      <c r="A4" s="154" t="s">
        <v>504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ht="15.6" customHeight="1">
      <c r="A5" s="75" t="s">
        <v>22</v>
      </c>
      <c r="B5" s="75" t="s">
        <v>544</v>
      </c>
      <c r="C5" s="76" t="s">
        <v>23</v>
      </c>
      <c r="D5" s="77"/>
      <c r="E5" s="78"/>
      <c r="F5" s="77"/>
      <c r="G5" s="77"/>
      <c r="H5" s="77"/>
      <c r="I5" s="77"/>
      <c r="J5" s="77"/>
      <c r="K5" s="77"/>
    </row>
    <row r="6" spans="1:11" ht="15.6" customHeight="1">
      <c r="A6" s="75" t="s">
        <v>24</v>
      </c>
      <c r="B6" s="75" t="s">
        <v>545</v>
      </c>
      <c r="C6" s="76" t="s">
        <v>23</v>
      </c>
      <c r="D6" s="77"/>
      <c r="E6" s="78"/>
      <c r="F6" s="77"/>
      <c r="G6" s="77"/>
      <c r="H6" s="77"/>
      <c r="I6" s="77"/>
      <c r="J6" s="77"/>
      <c r="K6" s="77"/>
    </row>
    <row r="7" spans="1:11" ht="15.6" customHeight="1">
      <c r="A7" s="75" t="s">
        <v>412</v>
      </c>
      <c r="B7" s="75" t="s">
        <v>546</v>
      </c>
      <c r="C7" s="76" t="s">
        <v>23</v>
      </c>
      <c r="D7" s="77"/>
      <c r="E7" s="78"/>
      <c r="F7" s="77"/>
      <c r="G7" s="77"/>
      <c r="H7" s="77"/>
      <c r="I7" s="77"/>
      <c r="J7" s="77"/>
      <c r="K7" s="77"/>
    </row>
    <row r="8" spans="1:11" ht="15.6" customHeight="1">
      <c r="A8" s="75" t="s">
        <v>412</v>
      </c>
      <c r="B8" s="75" t="s">
        <v>547</v>
      </c>
      <c r="C8" s="76" t="s">
        <v>23</v>
      </c>
      <c r="D8" s="77"/>
      <c r="E8" s="78"/>
      <c r="F8" s="77"/>
      <c r="G8" s="77"/>
      <c r="H8" s="77"/>
      <c r="I8" s="77"/>
      <c r="J8" s="77"/>
      <c r="K8" s="77"/>
    </row>
    <row r="9" spans="1:11" ht="15.6" customHeight="1">
      <c r="A9" s="75" t="s">
        <v>352</v>
      </c>
      <c r="B9" s="75" t="s">
        <v>548</v>
      </c>
      <c r="C9" s="76" t="s">
        <v>27</v>
      </c>
      <c r="D9" s="77"/>
      <c r="E9" s="78"/>
      <c r="F9" s="77"/>
      <c r="G9" s="77"/>
      <c r="H9" s="77"/>
      <c r="I9" s="77"/>
      <c r="J9" s="77"/>
      <c r="K9" s="77"/>
    </row>
    <row r="10" spans="1:11" ht="15.6" customHeight="1">
      <c r="A10" s="75" t="s">
        <v>352</v>
      </c>
      <c r="B10" s="75" t="s">
        <v>549</v>
      </c>
      <c r="C10" s="76" t="s">
        <v>27</v>
      </c>
      <c r="D10" s="77"/>
      <c r="E10" s="78"/>
      <c r="F10" s="77"/>
      <c r="G10" s="77"/>
      <c r="H10" s="77"/>
      <c r="I10" s="77"/>
      <c r="J10" s="77"/>
      <c r="K10" s="77"/>
    </row>
    <row r="11" spans="1:11" ht="15.6" customHeight="1">
      <c r="A11" s="75" t="s">
        <v>352</v>
      </c>
      <c r="B11" s="75" t="s">
        <v>550</v>
      </c>
      <c r="C11" s="76" t="s">
        <v>27</v>
      </c>
      <c r="D11" s="77"/>
      <c r="E11" s="78"/>
      <c r="F11" s="77"/>
      <c r="G11" s="77"/>
      <c r="H11" s="77"/>
      <c r="I11" s="77"/>
      <c r="J11" s="77"/>
      <c r="K11" s="77"/>
    </row>
    <row r="12" spans="1:11" ht="15.6" customHeight="1">
      <c r="A12" s="75" t="s">
        <v>352</v>
      </c>
      <c r="B12" s="75" t="s">
        <v>551</v>
      </c>
      <c r="C12" s="76" t="s">
        <v>27</v>
      </c>
      <c r="D12" s="77"/>
      <c r="E12" s="78"/>
      <c r="F12" s="77"/>
      <c r="G12" s="77"/>
      <c r="H12" s="77"/>
      <c r="I12" s="77"/>
      <c r="J12" s="77"/>
      <c r="K12" s="77"/>
    </row>
    <row r="13" spans="1:11" ht="15.6" customHeight="1">
      <c r="A13" s="75" t="s">
        <v>418</v>
      </c>
      <c r="B13" s="75" t="s">
        <v>566</v>
      </c>
      <c r="C13" s="76" t="s">
        <v>416</v>
      </c>
      <c r="D13" s="77"/>
      <c r="E13" s="78"/>
      <c r="F13" s="77"/>
      <c r="G13" s="77"/>
      <c r="H13" s="77"/>
      <c r="I13" s="77"/>
      <c r="J13" s="77"/>
      <c r="K13" s="77"/>
    </row>
    <row r="14" spans="1:11" ht="15.6" customHeight="1">
      <c r="A14" s="75" t="s">
        <v>418</v>
      </c>
      <c r="B14" s="75" t="s">
        <v>552</v>
      </c>
      <c r="C14" s="76" t="s">
        <v>416</v>
      </c>
      <c r="D14" s="77"/>
      <c r="E14" s="78"/>
      <c r="F14" s="77"/>
      <c r="G14" s="77"/>
      <c r="H14" s="77"/>
      <c r="I14" s="77"/>
      <c r="J14" s="77"/>
      <c r="K14" s="77"/>
    </row>
    <row r="15" spans="1:11" ht="15.6" customHeight="1">
      <c r="A15" s="75" t="s">
        <v>375</v>
      </c>
      <c r="B15" s="75" t="s">
        <v>376</v>
      </c>
      <c r="C15" s="76" t="s">
        <v>346</v>
      </c>
      <c r="D15" s="77"/>
      <c r="E15" s="78"/>
      <c r="F15" s="77"/>
      <c r="G15" s="77"/>
      <c r="H15" s="77"/>
      <c r="I15" s="77"/>
      <c r="J15" s="77"/>
      <c r="K15" s="77"/>
    </row>
    <row r="16" spans="1:11" ht="15.6" customHeight="1">
      <c r="A16" s="75" t="s">
        <v>373</v>
      </c>
      <c r="B16" s="75" t="s">
        <v>374</v>
      </c>
      <c r="C16" s="76" t="s">
        <v>346</v>
      </c>
      <c r="D16" s="77"/>
      <c r="E16" s="78"/>
      <c r="F16" s="77"/>
      <c r="G16" s="77"/>
      <c r="H16" s="77"/>
      <c r="I16" s="77"/>
      <c r="J16" s="77"/>
      <c r="K16" s="77"/>
    </row>
    <row r="17" spans="1:11" ht="15.6" customHeight="1">
      <c r="A17" s="75" t="s">
        <v>344</v>
      </c>
      <c r="B17" s="75" t="s">
        <v>345</v>
      </c>
      <c r="C17" s="76" t="s">
        <v>346</v>
      </c>
      <c r="D17" s="77"/>
      <c r="E17" s="78"/>
      <c r="F17" s="77"/>
      <c r="G17" s="77"/>
      <c r="H17" s="77"/>
      <c r="I17" s="77"/>
      <c r="J17" s="77"/>
      <c r="K17" s="77"/>
    </row>
    <row r="18" spans="1:11" ht="15.6" customHeight="1">
      <c r="A18" s="75" t="s">
        <v>347</v>
      </c>
      <c r="B18" s="75" t="s">
        <v>349</v>
      </c>
      <c r="C18" s="76" t="s">
        <v>27</v>
      </c>
      <c r="D18" s="77"/>
      <c r="E18" s="78"/>
      <c r="F18" s="77"/>
      <c r="G18" s="77"/>
      <c r="H18" s="77"/>
      <c r="I18" s="77"/>
      <c r="J18" s="77"/>
      <c r="K18" s="77"/>
    </row>
    <row r="19" spans="1:11" ht="15.6" customHeight="1">
      <c r="A19" s="75" t="s">
        <v>347</v>
      </c>
      <c r="B19" s="75" t="s">
        <v>348</v>
      </c>
      <c r="C19" s="76" t="s">
        <v>27</v>
      </c>
      <c r="D19" s="77"/>
      <c r="E19" s="78"/>
      <c r="F19" s="77"/>
      <c r="G19" s="77"/>
      <c r="H19" s="77"/>
      <c r="I19" s="77"/>
      <c r="J19" s="77"/>
      <c r="K19" s="77"/>
    </row>
    <row r="20" spans="1:11" ht="15.6" customHeight="1">
      <c r="A20" s="75" t="s">
        <v>347</v>
      </c>
      <c r="B20" s="75" t="s">
        <v>351</v>
      </c>
      <c r="C20" s="76" t="s">
        <v>27</v>
      </c>
      <c r="D20" s="77"/>
      <c r="E20" s="78"/>
      <c r="F20" s="77"/>
      <c r="G20" s="77"/>
      <c r="H20" s="77"/>
      <c r="I20" s="77"/>
      <c r="J20" s="77"/>
      <c r="K20" s="77"/>
    </row>
    <row r="21" spans="1:11" ht="15.6" customHeight="1">
      <c r="A21" s="75" t="s">
        <v>28</v>
      </c>
      <c r="B21" s="75" t="s">
        <v>560</v>
      </c>
      <c r="C21" s="76" t="s">
        <v>27</v>
      </c>
      <c r="D21" s="77"/>
      <c r="E21" s="78"/>
      <c r="F21" s="77"/>
      <c r="G21" s="77"/>
      <c r="H21" s="77"/>
      <c r="I21" s="77"/>
      <c r="J21" s="77"/>
      <c r="K21" s="77"/>
    </row>
    <row r="22" spans="1:11" ht="15.6" customHeight="1">
      <c r="A22" s="75" t="s">
        <v>25</v>
      </c>
      <c r="B22" s="75" t="s">
        <v>26</v>
      </c>
      <c r="C22" s="76" t="s">
        <v>27</v>
      </c>
      <c r="D22" s="77"/>
      <c r="E22" s="78"/>
      <c r="F22" s="77"/>
      <c r="G22" s="77"/>
      <c r="H22" s="77"/>
      <c r="I22" s="77"/>
      <c r="J22" s="77"/>
      <c r="K22" s="77"/>
    </row>
    <row r="23" spans="1:11" ht="15.6" customHeight="1">
      <c r="A23" s="75" t="s">
        <v>370</v>
      </c>
      <c r="B23" s="75" t="s">
        <v>371</v>
      </c>
      <c r="C23" s="76" t="s">
        <v>372</v>
      </c>
      <c r="D23" s="77"/>
      <c r="E23" s="78"/>
      <c r="F23" s="77"/>
      <c r="G23" s="77"/>
      <c r="H23" s="77"/>
      <c r="I23" s="77"/>
      <c r="J23" s="77"/>
      <c r="K23" s="77"/>
    </row>
    <row r="24" spans="1:11" ht="15.6" customHeight="1">
      <c r="A24" s="75" t="s">
        <v>367</v>
      </c>
      <c r="B24" s="75" t="s">
        <v>368</v>
      </c>
      <c r="C24" s="76" t="s">
        <v>27</v>
      </c>
      <c r="D24" s="77"/>
      <c r="E24" s="78"/>
      <c r="F24" s="77"/>
      <c r="G24" s="77"/>
      <c r="H24" s="77"/>
      <c r="I24" s="77"/>
      <c r="J24" s="77"/>
      <c r="K24" s="77"/>
    </row>
    <row r="25" spans="1:11" ht="15.6" customHeight="1">
      <c r="A25" s="75" t="s">
        <v>415</v>
      </c>
      <c r="B25" s="75" t="s">
        <v>337</v>
      </c>
      <c r="C25" s="76" t="s">
        <v>416</v>
      </c>
      <c r="D25" s="77"/>
      <c r="E25" s="78"/>
      <c r="F25" s="77"/>
      <c r="G25" s="77"/>
      <c r="H25" s="77"/>
      <c r="I25" s="77"/>
      <c r="J25" s="77"/>
      <c r="K25" s="77"/>
    </row>
    <row r="26" spans="1:11" ht="15.6" customHeight="1">
      <c r="A26" s="75" t="s">
        <v>319</v>
      </c>
      <c r="B26" s="75" t="s">
        <v>53</v>
      </c>
      <c r="C26" s="76" t="s">
        <v>23</v>
      </c>
      <c r="D26" s="77"/>
      <c r="E26" s="78"/>
      <c r="F26" s="77"/>
      <c r="G26" s="77"/>
      <c r="H26" s="77"/>
      <c r="I26" s="77"/>
      <c r="J26" s="77"/>
      <c r="K26" s="77"/>
    </row>
    <row r="27" spans="1:11" ht="15.6" customHeight="1">
      <c r="A27" s="75" t="s">
        <v>321</v>
      </c>
      <c r="B27" s="75" t="s">
        <v>322</v>
      </c>
      <c r="C27" s="76" t="s">
        <v>315</v>
      </c>
      <c r="D27" s="77"/>
      <c r="E27" s="78"/>
      <c r="F27" s="77"/>
      <c r="G27" s="77"/>
      <c r="H27" s="77"/>
      <c r="I27" s="77"/>
      <c r="J27" s="77"/>
      <c r="K27" s="77"/>
    </row>
    <row r="28" spans="1:11" ht="15.6" customHeight="1">
      <c r="A28" s="75" t="s">
        <v>421</v>
      </c>
      <c r="B28" s="75" t="s">
        <v>422</v>
      </c>
      <c r="C28" s="76" t="s">
        <v>423</v>
      </c>
      <c r="D28" s="77"/>
      <c r="E28" s="78"/>
      <c r="F28" s="77"/>
      <c r="G28" s="77"/>
      <c r="H28" s="77"/>
      <c r="I28" s="77"/>
      <c r="J28" s="77"/>
      <c r="K28" s="77"/>
    </row>
    <row r="29" spans="1:11" ht="15.6" customHeight="1">
      <c r="A29" s="75" t="s">
        <v>357</v>
      </c>
      <c r="B29" s="75" t="s">
        <v>358</v>
      </c>
      <c r="C29" s="76" t="s">
        <v>359</v>
      </c>
      <c r="D29" s="77"/>
      <c r="E29" s="78"/>
      <c r="F29" s="77"/>
      <c r="G29" s="77"/>
      <c r="H29" s="77"/>
      <c r="I29" s="77"/>
      <c r="J29" s="77"/>
      <c r="K29" s="77"/>
    </row>
    <row r="30" spans="1:11" ht="15.6" customHeight="1">
      <c r="A30" s="75" t="s">
        <v>317</v>
      </c>
      <c r="B30" s="75" t="s">
        <v>314</v>
      </c>
      <c r="C30" s="76" t="s">
        <v>315</v>
      </c>
      <c r="D30" s="77"/>
      <c r="E30" s="78"/>
      <c r="F30" s="77"/>
      <c r="G30" s="77"/>
      <c r="H30" s="77"/>
      <c r="I30" s="77"/>
      <c r="J30" s="77"/>
      <c r="K30" s="77"/>
    </row>
    <row r="31" spans="1:11" ht="15.6" customHeight="1">
      <c r="A31" s="75" t="s">
        <v>313</v>
      </c>
      <c r="B31" s="75" t="s">
        <v>314</v>
      </c>
      <c r="C31" s="76" t="s">
        <v>315</v>
      </c>
      <c r="D31" s="77"/>
      <c r="E31" s="78"/>
      <c r="F31" s="77"/>
      <c r="G31" s="77"/>
      <c r="H31" s="77"/>
      <c r="I31" s="77"/>
      <c r="J31" s="77"/>
      <c r="K31" s="77"/>
    </row>
    <row r="32" spans="1:11" ht="15.6" customHeight="1">
      <c r="A32" s="79"/>
      <c r="B32" s="79"/>
      <c r="C32" s="80"/>
      <c r="D32" s="80"/>
      <c r="E32" s="81"/>
      <c r="F32" s="80"/>
      <c r="G32" s="80"/>
      <c r="H32" s="80"/>
      <c r="I32" s="80"/>
      <c r="J32" s="80"/>
      <c r="K32" s="80"/>
    </row>
    <row r="33" spans="1:11" ht="15.6" customHeight="1">
      <c r="A33" s="73" t="s">
        <v>490</v>
      </c>
      <c r="E33" s="74"/>
    </row>
    <row r="34" spans="1:11" ht="15.6" customHeight="1">
      <c r="A34" s="155" t="s">
        <v>498</v>
      </c>
      <c r="B34" s="155" t="s">
        <v>499</v>
      </c>
      <c r="C34" s="156" t="s">
        <v>9</v>
      </c>
      <c r="D34" s="156" t="s">
        <v>500</v>
      </c>
      <c r="E34" s="156" t="s">
        <v>501</v>
      </c>
      <c r="F34" s="156" t="s">
        <v>201</v>
      </c>
      <c r="G34" s="156" t="s">
        <v>416</v>
      </c>
      <c r="H34" s="156" t="s">
        <v>502</v>
      </c>
      <c r="I34" s="156" t="s">
        <v>503</v>
      </c>
      <c r="J34" s="156" t="s">
        <v>497</v>
      </c>
      <c r="K34" s="156" t="s">
        <v>14</v>
      </c>
    </row>
    <row r="35" spans="1:11" ht="15.6" customHeight="1">
      <c r="A35" s="155"/>
      <c r="B35" s="155"/>
      <c r="C35" s="156"/>
      <c r="D35" s="156"/>
      <c r="E35" s="156"/>
      <c r="F35" s="156"/>
      <c r="G35" s="156"/>
      <c r="H35" s="156"/>
      <c r="I35" s="156"/>
      <c r="J35" s="156"/>
      <c r="K35" s="156"/>
    </row>
    <row r="36" spans="1:11" ht="15.6" customHeight="1">
      <c r="A36" s="154" t="s">
        <v>505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</row>
    <row r="37" spans="1:11" ht="15.6" customHeight="1">
      <c r="A37" s="75" t="s">
        <v>22</v>
      </c>
      <c r="B37" s="75" t="s">
        <v>544</v>
      </c>
      <c r="C37" s="76" t="s">
        <v>23</v>
      </c>
      <c r="D37" s="77"/>
      <c r="E37" s="78"/>
      <c r="F37" s="77"/>
      <c r="G37" s="77"/>
      <c r="H37" s="77"/>
      <c r="I37" s="77"/>
      <c r="J37" s="77"/>
      <c r="K37" s="77"/>
    </row>
    <row r="38" spans="1:11" ht="15.6" customHeight="1">
      <c r="A38" s="75" t="s">
        <v>24</v>
      </c>
      <c r="B38" s="75" t="s">
        <v>543</v>
      </c>
      <c r="C38" s="76" t="s">
        <v>23</v>
      </c>
      <c r="D38" s="77"/>
      <c r="E38" s="78"/>
      <c r="F38" s="77"/>
      <c r="G38" s="77"/>
      <c r="H38" s="77"/>
      <c r="I38" s="77"/>
      <c r="J38" s="77"/>
      <c r="K38" s="77"/>
    </row>
    <row r="39" spans="1:11" ht="15.6" customHeight="1">
      <c r="A39" s="75" t="s">
        <v>412</v>
      </c>
      <c r="B39" s="75" t="s">
        <v>546</v>
      </c>
      <c r="C39" s="76" t="s">
        <v>23</v>
      </c>
      <c r="D39" s="77"/>
      <c r="E39" s="78"/>
      <c r="F39" s="77"/>
      <c r="G39" s="77"/>
      <c r="H39" s="77"/>
      <c r="I39" s="77"/>
      <c r="J39" s="77"/>
      <c r="K39" s="77"/>
    </row>
    <row r="40" spans="1:11" ht="15.6" customHeight="1">
      <c r="A40" s="75" t="s">
        <v>412</v>
      </c>
      <c r="B40" s="75" t="s">
        <v>556</v>
      </c>
      <c r="C40" s="76" t="s">
        <v>23</v>
      </c>
      <c r="D40" s="77"/>
      <c r="E40" s="78"/>
      <c r="F40" s="77"/>
      <c r="G40" s="77"/>
      <c r="H40" s="77"/>
      <c r="I40" s="77"/>
      <c r="J40" s="77"/>
      <c r="K40" s="77"/>
    </row>
    <row r="41" spans="1:11" ht="15.6" customHeight="1">
      <c r="A41" s="75" t="s">
        <v>352</v>
      </c>
      <c r="B41" s="75" t="s">
        <v>548</v>
      </c>
      <c r="C41" s="76" t="s">
        <v>27</v>
      </c>
      <c r="D41" s="77"/>
      <c r="E41" s="78"/>
      <c r="F41" s="77"/>
      <c r="G41" s="77"/>
      <c r="H41" s="77"/>
      <c r="I41" s="77"/>
      <c r="J41" s="77"/>
      <c r="K41" s="77"/>
    </row>
    <row r="42" spans="1:11" ht="15.6" customHeight="1">
      <c r="A42" s="75" t="s">
        <v>352</v>
      </c>
      <c r="B42" s="75" t="s">
        <v>553</v>
      </c>
      <c r="C42" s="76" t="s">
        <v>27</v>
      </c>
      <c r="D42" s="77"/>
      <c r="E42" s="78"/>
      <c r="F42" s="77"/>
      <c r="G42" s="77"/>
      <c r="H42" s="77"/>
      <c r="I42" s="77"/>
      <c r="J42" s="77"/>
      <c r="K42" s="77"/>
    </row>
    <row r="43" spans="1:11" ht="15.6" customHeight="1">
      <c r="A43" s="75" t="s">
        <v>352</v>
      </c>
      <c r="B43" s="75" t="s">
        <v>550</v>
      </c>
      <c r="C43" s="76" t="s">
        <v>27</v>
      </c>
      <c r="D43" s="77"/>
      <c r="E43" s="78"/>
      <c r="F43" s="77"/>
      <c r="G43" s="77"/>
      <c r="H43" s="77"/>
      <c r="I43" s="77"/>
      <c r="J43" s="77"/>
      <c r="K43" s="77"/>
    </row>
    <row r="44" spans="1:11" ht="15.6" customHeight="1">
      <c r="A44" s="75" t="s">
        <v>418</v>
      </c>
      <c r="B44" s="75" t="s">
        <v>566</v>
      </c>
      <c r="C44" s="76" t="s">
        <v>416</v>
      </c>
      <c r="D44" s="77"/>
      <c r="E44" s="78"/>
      <c r="F44" s="77"/>
      <c r="G44" s="77"/>
      <c r="H44" s="77"/>
      <c r="I44" s="77"/>
      <c r="J44" s="77"/>
      <c r="K44" s="77"/>
    </row>
    <row r="45" spans="1:11" ht="15.6" customHeight="1">
      <c r="A45" s="75" t="s">
        <v>418</v>
      </c>
      <c r="B45" s="75" t="s">
        <v>554</v>
      </c>
      <c r="C45" s="76" t="s">
        <v>416</v>
      </c>
      <c r="D45" s="77"/>
      <c r="E45" s="78"/>
      <c r="F45" s="77"/>
      <c r="G45" s="77"/>
      <c r="H45" s="77"/>
      <c r="I45" s="77"/>
      <c r="J45" s="77"/>
      <c r="K45" s="77"/>
    </row>
    <row r="46" spans="1:11" ht="15.6" customHeight="1">
      <c r="A46" s="75" t="s">
        <v>373</v>
      </c>
      <c r="B46" s="75" t="s">
        <v>374</v>
      </c>
      <c r="C46" s="76" t="s">
        <v>346</v>
      </c>
      <c r="D46" s="77"/>
      <c r="E46" s="78"/>
      <c r="F46" s="77"/>
      <c r="G46" s="77"/>
      <c r="H46" s="77"/>
      <c r="I46" s="77"/>
      <c r="J46" s="77"/>
      <c r="K46" s="77"/>
    </row>
    <row r="47" spans="1:11" ht="15.6" customHeight="1">
      <c r="A47" s="75" t="s">
        <v>375</v>
      </c>
      <c r="B47" s="75" t="s">
        <v>376</v>
      </c>
      <c r="C47" s="76" t="s">
        <v>346</v>
      </c>
      <c r="D47" s="77"/>
      <c r="E47" s="78"/>
      <c r="F47" s="77"/>
      <c r="G47" s="77"/>
      <c r="H47" s="77"/>
      <c r="I47" s="77"/>
      <c r="J47" s="77"/>
      <c r="K47" s="77"/>
    </row>
    <row r="48" spans="1:11" ht="15.6" customHeight="1">
      <c r="A48" s="75" t="s">
        <v>344</v>
      </c>
      <c r="B48" s="75" t="s">
        <v>345</v>
      </c>
      <c r="C48" s="76" t="s">
        <v>346</v>
      </c>
      <c r="D48" s="77"/>
      <c r="E48" s="78"/>
      <c r="F48" s="77"/>
      <c r="G48" s="77"/>
      <c r="H48" s="77"/>
      <c r="I48" s="77"/>
      <c r="J48" s="77"/>
      <c r="K48" s="77"/>
    </row>
    <row r="49" spans="1:11" ht="15.6" customHeight="1">
      <c r="A49" s="75" t="s">
        <v>347</v>
      </c>
      <c r="B49" s="75" t="s">
        <v>350</v>
      </c>
      <c r="C49" s="76" t="s">
        <v>27</v>
      </c>
      <c r="D49" s="77"/>
      <c r="E49" s="78"/>
      <c r="F49" s="77"/>
      <c r="G49" s="77"/>
      <c r="H49" s="77"/>
      <c r="I49" s="77"/>
      <c r="J49" s="77"/>
      <c r="K49" s="77"/>
    </row>
    <row r="50" spans="1:11" ht="15.6" customHeight="1">
      <c r="A50" s="75" t="s">
        <v>347</v>
      </c>
      <c r="B50" s="75" t="s">
        <v>349</v>
      </c>
      <c r="C50" s="76" t="s">
        <v>27</v>
      </c>
      <c r="D50" s="77"/>
      <c r="E50" s="78"/>
      <c r="F50" s="77"/>
      <c r="G50" s="77"/>
      <c r="H50" s="77"/>
      <c r="I50" s="77"/>
      <c r="J50" s="77"/>
      <c r="K50" s="77"/>
    </row>
    <row r="51" spans="1:11" ht="15.6" customHeight="1">
      <c r="A51" s="75" t="s">
        <v>347</v>
      </c>
      <c r="B51" s="75" t="s">
        <v>348</v>
      </c>
      <c r="C51" s="76" t="s">
        <v>27</v>
      </c>
      <c r="D51" s="77"/>
      <c r="E51" s="78"/>
      <c r="F51" s="77"/>
      <c r="G51" s="77"/>
      <c r="H51" s="77"/>
      <c r="I51" s="77"/>
      <c r="J51" s="77"/>
      <c r="K51" s="77"/>
    </row>
    <row r="52" spans="1:11" ht="15.6" customHeight="1">
      <c r="A52" s="75" t="s">
        <v>347</v>
      </c>
      <c r="B52" s="75" t="s">
        <v>351</v>
      </c>
      <c r="C52" s="76" t="s">
        <v>27</v>
      </c>
      <c r="D52" s="77"/>
      <c r="E52" s="78"/>
      <c r="F52" s="77"/>
      <c r="G52" s="77"/>
      <c r="H52" s="77"/>
      <c r="I52" s="77"/>
      <c r="J52" s="77"/>
      <c r="K52" s="77"/>
    </row>
    <row r="53" spans="1:11" ht="15.6" customHeight="1">
      <c r="A53" s="75" t="s">
        <v>29</v>
      </c>
      <c r="B53" s="75" t="s">
        <v>30</v>
      </c>
      <c r="C53" s="76" t="s">
        <v>27</v>
      </c>
      <c r="D53" s="77"/>
      <c r="E53" s="78"/>
      <c r="F53" s="77"/>
      <c r="G53" s="77"/>
      <c r="H53" s="77"/>
      <c r="I53" s="77"/>
      <c r="J53" s="77"/>
      <c r="K53" s="77"/>
    </row>
    <row r="54" spans="1:11" ht="15.6" customHeight="1">
      <c r="A54" s="75" t="s">
        <v>28</v>
      </c>
      <c r="B54" s="75" t="s">
        <v>560</v>
      </c>
      <c r="C54" s="76" t="s">
        <v>27</v>
      </c>
      <c r="D54" s="77"/>
      <c r="E54" s="78"/>
      <c r="F54" s="77"/>
      <c r="G54" s="77"/>
      <c r="H54" s="77"/>
      <c r="I54" s="77"/>
      <c r="J54" s="77"/>
      <c r="K54" s="77"/>
    </row>
    <row r="55" spans="1:11" ht="15.6" customHeight="1">
      <c r="A55" s="75" t="s">
        <v>25</v>
      </c>
      <c r="B55" s="75" t="s">
        <v>26</v>
      </c>
      <c r="C55" s="76" t="s">
        <v>27</v>
      </c>
      <c r="D55" s="77"/>
      <c r="E55" s="78"/>
      <c r="F55" s="77"/>
      <c r="G55" s="77"/>
      <c r="H55" s="77"/>
      <c r="I55" s="77"/>
      <c r="J55" s="77"/>
      <c r="K55" s="77"/>
    </row>
    <row r="56" spans="1:11" ht="15.6" customHeight="1">
      <c r="A56" s="75" t="s">
        <v>370</v>
      </c>
      <c r="B56" s="75" t="s">
        <v>371</v>
      </c>
      <c r="C56" s="76" t="s">
        <v>372</v>
      </c>
      <c r="D56" s="77"/>
      <c r="E56" s="78"/>
      <c r="F56" s="77"/>
      <c r="G56" s="77"/>
      <c r="H56" s="77"/>
      <c r="I56" s="77"/>
      <c r="J56" s="77"/>
      <c r="K56" s="77"/>
    </row>
    <row r="57" spans="1:11" ht="15.6" customHeight="1">
      <c r="A57" s="75" t="s">
        <v>367</v>
      </c>
      <c r="B57" s="75" t="s">
        <v>368</v>
      </c>
      <c r="C57" s="76" t="s">
        <v>27</v>
      </c>
      <c r="D57" s="77"/>
      <c r="E57" s="78"/>
      <c r="F57" s="77"/>
      <c r="G57" s="77"/>
      <c r="H57" s="77"/>
      <c r="I57" s="77"/>
      <c r="J57" s="77"/>
      <c r="K57" s="77"/>
    </row>
    <row r="58" spans="1:11" ht="15.6" customHeight="1">
      <c r="A58" s="75" t="s">
        <v>415</v>
      </c>
      <c r="B58" s="75" t="s">
        <v>337</v>
      </c>
      <c r="C58" s="76" t="s">
        <v>416</v>
      </c>
      <c r="D58" s="77"/>
      <c r="E58" s="78"/>
      <c r="F58" s="77"/>
      <c r="G58" s="77"/>
      <c r="H58" s="77"/>
      <c r="I58" s="77"/>
      <c r="J58" s="77"/>
      <c r="K58" s="77"/>
    </row>
    <row r="59" spans="1:11" ht="15.6" customHeight="1">
      <c r="A59" s="75" t="s">
        <v>319</v>
      </c>
      <c r="B59" s="75" t="s">
        <v>53</v>
      </c>
      <c r="C59" s="76" t="s">
        <v>23</v>
      </c>
      <c r="D59" s="77"/>
      <c r="E59" s="78"/>
      <c r="F59" s="77"/>
      <c r="G59" s="77"/>
      <c r="H59" s="77"/>
      <c r="I59" s="77"/>
      <c r="J59" s="77"/>
      <c r="K59" s="77"/>
    </row>
    <row r="60" spans="1:11" ht="15.6" customHeight="1">
      <c r="A60" s="75" t="s">
        <v>321</v>
      </c>
      <c r="B60" s="75" t="s">
        <v>322</v>
      </c>
      <c r="C60" s="76" t="s">
        <v>315</v>
      </c>
      <c r="D60" s="77"/>
      <c r="E60" s="78"/>
      <c r="F60" s="77"/>
      <c r="G60" s="77"/>
      <c r="H60" s="77"/>
      <c r="I60" s="77"/>
      <c r="J60" s="77"/>
      <c r="K60" s="77"/>
    </row>
    <row r="61" spans="1:11" ht="15.6" customHeight="1">
      <c r="A61" s="75" t="s">
        <v>421</v>
      </c>
      <c r="B61" s="75" t="s">
        <v>422</v>
      </c>
      <c r="C61" s="76" t="s">
        <v>423</v>
      </c>
      <c r="D61" s="77"/>
      <c r="E61" s="78"/>
      <c r="F61" s="77"/>
      <c r="G61" s="77"/>
      <c r="H61" s="77"/>
      <c r="I61" s="77"/>
      <c r="J61" s="77"/>
      <c r="K61" s="77"/>
    </row>
    <row r="62" spans="1:11" ht="15.6" customHeight="1">
      <c r="A62" s="75" t="s">
        <v>357</v>
      </c>
      <c r="B62" s="75" t="s">
        <v>358</v>
      </c>
      <c r="C62" s="76" t="s">
        <v>359</v>
      </c>
      <c r="D62" s="77"/>
      <c r="E62" s="78"/>
      <c r="F62" s="77"/>
      <c r="G62" s="77"/>
      <c r="H62" s="77"/>
      <c r="I62" s="77"/>
      <c r="J62" s="77"/>
      <c r="K62" s="77"/>
    </row>
    <row r="63" spans="1:11" ht="15.6" customHeight="1">
      <c r="A63" s="75" t="s">
        <v>317</v>
      </c>
      <c r="B63" s="75" t="s">
        <v>314</v>
      </c>
      <c r="C63" s="76" t="s">
        <v>315</v>
      </c>
      <c r="D63" s="77"/>
      <c r="E63" s="78"/>
      <c r="F63" s="77"/>
      <c r="G63" s="77"/>
      <c r="H63" s="77"/>
      <c r="I63" s="77"/>
      <c r="J63" s="77"/>
      <c r="K63" s="77"/>
    </row>
    <row r="64" spans="1:11" ht="15.6" customHeight="1">
      <c r="A64" s="75" t="s">
        <v>313</v>
      </c>
      <c r="B64" s="75" t="s">
        <v>314</v>
      </c>
      <c r="C64" s="76" t="s">
        <v>315</v>
      </c>
      <c r="D64" s="77"/>
      <c r="E64" s="78"/>
      <c r="F64" s="77"/>
      <c r="G64" s="77"/>
      <c r="H64" s="77"/>
      <c r="I64" s="77"/>
      <c r="J64" s="77"/>
      <c r="K64" s="77"/>
    </row>
    <row r="65" spans="1:11" ht="15.6" customHeight="1">
      <c r="A65" s="73" t="s">
        <v>490</v>
      </c>
      <c r="E65" s="74"/>
    </row>
    <row r="66" spans="1:11" ht="15.6" customHeight="1">
      <c r="A66" s="155" t="s">
        <v>498</v>
      </c>
      <c r="B66" s="155" t="s">
        <v>499</v>
      </c>
      <c r="C66" s="156" t="s">
        <v>9</v>
      </c>
      <c r="D66" s="156" t="s">
        <v>500</v>
      </c>
      <c r="E66" s="156" t="s">
        <v>501</v>
      </c>
      <c r="F66" s="156" t="s">
        <v>201</v>
      </c>
      <c r="G66" s="156" t="s">
        <v>416</v>
      </c>
      <c r="H66" s="156" t="s">
        <v>502</v>
      </c>
      <c r="I66" s="156" t="s">
        <v>503</v>
      </c>
      <c r="J66" s="156" t="s">
        <v>497</v>
      </c>
      <c r="K66" s="156" t="s">
        <v>14</v>
      </c>
    </row>
    <row r="67" spans="1:11" ht="15.6" customHeight="1">
      <c r="A67" s="155"/>
      <c r="B67" s="155"/>
      <c r="C67" s="156"/>
      <c r="D67" s="156"/>
      <c r="E67" s="156"/>
      <c r="F67" s="156"/>
      <c r="G67" s="156"/>
      <c r="H67" s="156"/>
      <c r="I67" s="156"/>
      <c r="J67" s="156"/>
      <c r="K67" s="156"/>
    </row>
    <row r="68" spans="1:11" ht="15.6" customHeight="1">
      <c r="A68" s="154" t="s">
        <v>506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</row>
    <row r="69" spans="1:11" ht="15.6" customHeight="1">
      <c r="A69" s="75" t="s">
        <v>22</v>
      </c>
      <c r="B69" s="75" t="s">
        <v>555</v>
      </c>
      <c r="C69" s="76" t="s">
        <v>23</v>
      </c>
      <c r="D69" s="77"/>
      <c r="E69" s="78"/>
      <c r="F69" s="77"/>
      <c r="G69" s="77"/>
      <c r="H69" s="77"/>
      <c r="I69" s="77"/>
      <c r="J69" s="77"/>
      <c r="K69" s="77"/>
    </row>
    <row r="70" spans="1:11" ht="15.6" customHeight="1">
      <c r="A70" s="75" t="s">
        <v>24</v>
      </c>
      <c r="B70" s="75" t="s">
        <v>543</v>
      </c>
      <c r="C70" s="76" t="s">
        <v>23</v>
      </c>
      <c r="D70" s="77"/>
      <c r="E70" s="78"/>
      <c r="F70" s="77"/>
      <c r="G70" s="77"/>
      <c r="H70" s="77"/>
      <c r="I70" s="77"/>
      <c r="J70" s="77"/>
      <c r="K70" s="77"/>
    </row>
    <row r="71" spans="1:11" ht="15.6" customHeight="1">
      <c r="A71" s="75" t="s">
        <v>412</v>
      </c>
      <c r="B71" s="75" t="s">
        <v>556</v>
      </c>
      <c r="C71" s="76" t="s">
        <v>23</v>
      </c>
      <c r="D71" s="77"/>
      <c r="E71" s="78"/>
      <c r="F71" s="77"/>
      <c r="G71" s="77"/>
      <c r="H71" s="77"/>
      <c r="I71" s="77"/>
      <c r="J71" s="77"/>
      <c r="K71" s="77"/>
    </row>
    <row r="72" spans="1:11" ht="15.6" customHeight="1">
      <c r="A72" s="75" t="s">
        <v>352</v>
      </c>
      <c r="B72" s="75" t="s">
        <v>553</v>
      </c>
      <c r="C72" s="76" t="s">
        <v>27</v>
      </c>
      <c r="D72" s="77"/>
      <c r="E72" s="78"/>
      <c r="F72" s="77"/>
      <c r="G72" s="77"/>
      <c r="H72" s="77"/>
      <c r="I72" s="77"/>
      <c r="J72" s="77"/>
      <c r="K72" s="77"/>
    </row>
    <row r="73" spans="1:11" ht="15.6" customHeight="1">
      <c r="A73" s="75" t="s">
        <v>352</v>
      </c>
      <c r="B73" s="75" t="s">
        <v>550</v>
      </c>
      <c r="C73" s="76" t="s">
        <v>27</v>
      </c>
      <c r="D73" s="77"/>
      <c r="E73" s="78"/>
      <c r="F73" s="77"/>
      <c r="G73" s="77"/>
      <c r="H73" s="77"/>
      <c r="I73" s="77"/>
      <c r="J73" s="77"/>
      <c r="K73" s="77"/>
    </row>
    <row r="74" spans="1:11" ht="15.6" customHeight="1">
      <c r="A74" s="75" t="s">
        <v>418</v>
      </c>
      <c r="B74" s="75" t="s">
        <v>557</v>
      </c>
      <c r="C74" s="76" t="s">
        <v>416</v>
      </c>
      <c r="D74" s="77"/>
      <c r="E74" s="78"/>
      <c r="F74" s="77"/>
      <c r="G74" s="77"/>
      <c r="H74" s="77"/>
      <c r="I74" s="77"/>
      <c r="J74" s="77"/>
      <c r="K74" s="77"/>
    </row>
    <row r="75" spans="1:11" ht="15.6" customHeight="1">
      <c r="A75" s="75" t="s">
        <v>375</v>
      </c>
      <c r="B75" s="75" t="s">
        <v>554</v>
      </c>
      <c r="C75" s="76" t="s">
        <v>346</v>
      </c>
      <c r="D75" s="77"/>
      <c r="E75" s="78"/>
      <c r="F75" s="77"/>
      <c r="G75" s="77"/>
      <c r="H75" s="77"/>
      <c r="I75" s="77"/>
      <c r="J75" s="77"/>
      <c r="K75" s="77"/>
    </row>
    <row r="76" spans="1:11" ht="15.6" customHeight="1">
      <c r="A76" s="75" t="s">
        <v>373</v>
      </c>
      <c r="B76" s="75" t="s">
        <v>558</v>
      </c>
      <c r="C76" s="76" t="s">
        <v>346</v>
      </c>
      <c r="D76" s="77"/>
      <c r="E76" s="78"/>
      <c r="F76" s="77"/>
      <c r="G76" s="77"/>
      <c r="H76" s="77"/>
      <c r="I76" s="77"/>
      <c r="J76" s="77"/>
      <c r="K76" s="77"/>
    </row>
    <row r="77" spans="1:11" ht="15.6" customHeight="1">
      <c r="A77" s="75" t="s">
        <v>344</v>
      </c>
      <c r="B77" s="75" t="s">
        <v>345</v>
      </c>
      <c r="C77" s="76" t="s">
        <v>346</v>
      </c>
      <c r="D77" s="77"/>
      <c r="E77" s="78"/>
      <c r="F77" s="77"/>
      <c r="G77" s="77"/>
      <c r="H77" s="77"/>
      <c r="I77" s="77"/>
      <c r="J77" s="77"/>
      <c r="K77" s="77"/>
    </row>
    <row r="78" spans="1:11" ht="15.6" customHeight="1">
      <c r="A78" s="75" t="s">
        <v>347</v>
      </c>
      <c r="B78" s="75" t="s">
        <v>350</v>
      </c>
      <c r="C78" s="76" t="s">
        <v>27</v>
      </c>
      <c r="D78" s="77"/>
      <c r="E78" s="78"/>
      <c r="F78" s="77"/>
      <c r="G78" s="77"/>
      <c r="H78" s="77"/>
      <c r="I78" s="77"/>
      <c r="J78" s="77"/>
      <c r="K78" s="77"/>
    </row>
    <row r="79" spans="1:11" ht="15.6" customHeight="1">
      <c r="A79" s="75" t="s">
        <v>347</v>
      </c>
      <c r="B79" s="75" t="s">
        <v>349</v>
      </c>
      <c r="C79" s="76" t="s">
        <v>27</v>
      </c>
      <c r="D79" s="77"/>
      <c r="E79" s="78"/>
      <c r="F79" s="77"/>
      <c r="G79" s="77"/>
      <c r="H79" s="77"/>
      <c r="I79" s="77"/>
      <c r="J79" s="77"/>
      <c r="K79" s="77"/>
    </row>
    <row r="80" spans="1:11" ht="15.6" customHeight="1">
      <c r="A80" s="75" t="s">
        <v>347</v>
      </c>
      <c r="B80" s="75" t="s">
        <v>348</v>
      </c>
      <c r="C80" s="76" t="s">
        <v>27</v>
      </c>
      <c r="D80" s="77"/>
      <c r="E80" s="78"/>
      <c r="F80" s="77"/>
      <c r="G80" s="77"/>
      <c r="H80" s="77"/>
      <c r="I80" s="77"/>
      <c r="J80" s="77"/>
      <c r="K80" s="77"/>
    </row>
    <row r="81" spans="1:11" ht="15.6" customHeight="1">
      <c r="A81" s="75" t="s">
        <v>347</v>
      </c>
      <c r="B81" s="75" t="s">
        <v>351</v>
      </c>
      <c r="C81" s="76" t="s">
        <v>27</v>
      </c>
      <c r="D81" s="77"/>
      <c r="E81" s="78"/>
      <c r="F81" s="77"/>
      <c r="G81" s="77"/>
      <c r="H81" s="77"/>
      <c r="I81" s="77"/>
      <c r="J81" s="77"/>
      <c r="K81" s="77"/>
    </row>
    <row r="82" spans="1:11" ht="15.6" customHeight="1">
      <c r="A82" s="75" t="s">
        <v>28</v>
      </c>
      <c r="B82" s="75" t="s">
        <v>559</v>
      </c>
      <c r="C82" s="76" t="s">
        <v>27</v>
      </c>
      <c r="D82" s="77"/>
      <c r="E82" s="78"/>
      <c r="F82" s="77"/>
      <c r="G82" s="77"/>
      <c r="H82" s="77"/>
      <c r="I82" s="77"/>
      <c r="J82" s="77"/>
      <c r="K82" s="77"/>
    </row>
    <row r="83" spans="1:11" ht="15.6" customHeight="1">
      <c r="A83" s="75" t="s">
        <v>25</v>
      </c>
      <c r="B83" s="75" t="s">
        <v>26</v>
      </c>
      <c r="C83" s="76" t="s">
        <v>27</v>
      </c>
      <c r="D83" s="77"/>
      <c r="E83" s="78"/>
      <c r="F83" s="77"/>
      <c r="G83" s="77"/>
      <c r="H83" s="77"/>
      <c r="I83" s="77"/>
      <c r="J83" s="77"/>
      <c r="K83" s="77"/>
    </row>
    <row r="84" spans="1:11" ht="15.6" customHeight="1">
      <c r="A84" s="75" t="s">
        <v>370</v>
      </c>
      <c r="B84" s="75" t="s">
        <v>371</v>
      </c>
      <c r="C84" s="76" t="s">
        <v>372</v>
      </c>
      <c r="D84" s="77"/>
      <c r="E84" s="78"/>
      <c r="F84" s="77"/>
      <c r="G84" s="77"/>
      <c r="H84" s="77"/>
      <c r="I84" s="77"/>
      <c r="J84" s="77"/>
      <c r="K84" s="77"/>
    </row>
    <row r="85" spans="1:11" ht="15.6" customHeight="1">
      <c r="A85" s="75" t="s">
        <v>367</v>
      </c>
      <c r="B85" s="75" t="s">
        <v>368</v>
      </c>
      <c r="C85" s="76" t="s">
        <v>27</v>
      </c>
      <c r="D85" s="77"/>
      <c r="E85" s="78"/>
      <c r="F85" s="77"/>
      <c r="G85" s="77"/>
      <c r="H85" s="77"/>
      <c r="I85" s="77"/>
      <c r="J85" s="77"/>
      <c r="K85" s="77"/>
    </row>
    <row r="86" spans="1:11" ht="15.6" customHeight="1">
      <c r="A86" s="75" t="s">
        <v>415</v>
      </c>
      <c r="B86" s="75" t="s">
        <v>337</v>
      </c>
      <c r="C86" s="76" t="s">
        <v>416</v>
      </c>
      <c r="D86" s="77"/>
      <c r="E86" s="78"/>
      <c r="F86" s="77"/>
      <c r="G86" s="77"/>
      <c r="H86" s="77"/>
      <c r="I86" s="77"/>
      <c r="J86" s="77"/>
      <c r="K86" s="77"/>
    </row>
    <row r="87" spans="1:11" ht="15.6" customHeight="1">
      <c r="A87" s="75" t="s">
        <v>319</v>
      </c>
      <c r="B87" s="75" t="s">
        <v>53</v>
      </c>
      <c r="C87" s="76" t="s">
        <v>23</v>
      </c>
      <c r="D87" s="77"/>
      <c r="E87" s="78"/>
      <c r="F87" s="77"/>
      <c r="G87" s="77"/>
      <c r="H87" s="77"/>
      <c r="I87" s="77"/>
      <c r="J87" s="77"/>
      <c r="K87" s="77"/>
    </row>
    <row r="88" spans="1:11" ht="15.6" customHeight="1">
      <c r="A88" s="75" t="s">
        <v>321</v>
      </c>
      <c r="B88" s="75" t="s">
        <v>322</v>
      </c>
      <c r="C88" s="76" t="s">
        <v>315</v>
      </c>
      <c r="D88" s="77"/>
      <c r="E88" s="78"/>
      <c r="F88" s="77"/>
      <c r="G88" s="77"/>
      <c r="H88" s="77"/>
      <c r="I88" s="77"/>
      <c r="J88" s="77"/>
      <c r="K88" s="77"/>
    </row>
    <row r="89" spans="1:11" ht="15.6" customHeight="1">
      <c r="A89" s="75" t="s">
        <v>421</v>
      </c>
      <c r="B89" s="75" t="s">
        <v>422</v>
      </c>
      <c r="C89" s="76" t="s">
        <v>423</v>
      </c>
      <c r="D89" s="77"/>
      <c r="E89" s="78"/>
      <c r="F89" s="77"/>
      <c r="G89" s="77"/>
      <c r="H89" s="77"/>
      <c r="I89" s="77"/>
      <c r="J89" s="77"/>
      <c r="K89" s="77"/>
    </row>
    <row r="90" spans="1:11" ht="15.6" customHeight="1">
      <c r="A90" s="75" t="s">
        <v>357</v>
      </c>
      <c r="B90" s="75" t="s">
        <v>358</v>
      </c>
      <c r="C90" s="76" t="s">
        <v>359</v>
      </c>
      <c r="D90" s="77"/>
      <c r="E90" s="78"/>
      <c r="F90" s="77"/>
      <c r="G90" s="77"/>
      <c r="H90" s="77"/>
      <c r="I90" s="77"/>
      <c r="J90" s="77"/>
      <c r="K90" s="77"/>
    </row>
    <row r="91" spans="1:11" ht="15.6" customHeight="1">
      <c r="A91" s="75" t="s">
        <v>317</v>
      </c>
      <c r="B91" s="75" t="s">
        <v>314</v>
      </c>
      <c r="C91" s="76" t="s">
        <v>315</v>
      </c>
      <c r="D91" s="77"/>
      <c r="E91" s="78"/>
      <c r="F91" s="77"/>
      <c r="G91" s="77"/>
      <c r="H91" s="77"/>
      <c r="I91" s="77"/>
      <c r="J91" s="77"/>
      <c r="K91" s="77"/>
    </row>
    <row r="92" spans="1:11" ht="15.6" customHeight="1">
      <c r="A92" s="75" t="s">
        <v>313</v>
      </c>
      <c r="B92" s="75" t="s">
        <v>314</v>
      </c>
      <c r="C92" s="76" t="s">
        <v>315</v>
      </c>
      <c r="D92" s="77"/>
      <c r="E92" s="78"/>
      <c r="F92" s="77"/>
      <c r="G92" s="77"/>
      <c r="H92" s="77"/>
      <c r="I92" s="77"/>
      <c r="J92" s="77"/>
      <c r="K92" s="77"/>
    </row>
    <row r="93" spans="1:11" ht="15.6" customHeight="1">
      <c r="A93" s="79"/>
      <c r="B93" s="79"/>
      <c r="C93" s="80"/>
      <c r="D93" s="80"/>
      <c r="E93" s="81"/>
      <c r="F93" s="80"/>
      <c r="G93" s="80"/>
      <c r="H93" s="80"/>
      <c r="I93" s="80"/>
      <c r="J93" s="80"/>
      <c r="K93" s="80"/>
    </row>
    <row r="94" spans="1:11" ht="15.6" customHeight="1">
      <c r="A94" s="79"/>
      <c r="B94" s="79"/>
      <c r="C94" s="80"/>
      <c r="D94" s="80"/>
      <c r="E94" s="81"/>
      <c r="F94" s="80"/>
      <c r="G94" s="80"/>
      <c r="H94" s="80"/>
      <c r="I94" s="80"/>
      <c r="J94" s="80"/>
      <c r="K94" s="80"/>
    </row>
    <row r="95" spans="1:11" ht="15.6" customHeight="1">
      <c r="A95" s="79"/>
      <c r="B95" s="79"/>
      <c r="C95" s="80"/>
      <c r="D95" s="80"/>
      <c r="E95" s="81"/>
      <c r="F95" s="80"/>
      <c r="G95" s="80"/>
      <c r="H95" s="80"/>
      <c r="I95" s="80"/>
      <c r="J95" s="80"/>
      <c r="K95" s="80"/>
    </row>
    <row r="96" spans="1:11" ht="15.6" customHeight="1">
      <c r="A96" s="79"/>
      <c r="B96" s="79"/>
      <c r="C96" s="80"/>
      <c r="D96" s="80"/>
      <c r="E96" s="81"/>
      <c r="F96" s="80"/>
      <c r="G96" s="80"/>
      <c r="H96" s="80"/>
      <c r="I96" s="80"/>
      <c r="J96" s="80"/>
      <c r="K96" s="80"/>
    </row>
  </sheetData>
  <mergeCells count="36">
    <mergeCell ref="A68:K68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A36:K36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4:K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78740157480314965" right="0.39370078740157483" top="0.6692913385826772" bottom="0.59055118110236227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Q25"/>
  <sheetViews>
    <sheetView view="pageBreakPreview" zoomScaleNormal="100" zoomScaleSheetLayoutView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BB14" sqref="BB14"/>
    </sheetView>
  </sheetViews>
  <sheetFormatPr defaultRowHeight="16.5"/>
  <cols>
    <col min="1" max="1" width="20.625" style="2" customWidth="1"/>
    <col min="2" max="2" width="18.625" style="2" customWidth="1"/>
    <col min="3" max="3" width="4.625" style="3" customWidth="1"/>
    <col min="4" max="4" width="5.625" style="4" customWidth="1"/>
    <col min="5" max="5" width="4.625" style="4" customWidth="1"/>
    <col min="6" max="6" width="7.625" style="4" customWidth="1"/>
    <col min="7" max="12" width="8.625" style="4" customWidth="1"/>
    <col min="13" max="13" width="7.625" style="2" customWidth="1"/>
    <col min="14" max="51" width="0" hidden="1" customWidth="1"/>
  </cols>
  <sheetData>
    <row r="1" spans="1:17" ht="30" customHeight="1">
      <c r="A1" s="118" t="s">
        <v>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7" ht="20.100000000000001" customHeight="1">
      <c r="A2" s="119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7" ht="20.100000000000001" customHeight="1">
      <c r="A3" s="127" t="s">
        <v>7</v>
      </c>
      <c r="B3" s="127" t="s">
        <v>8</v>
      </c>
      <c r="C3" s="127" t="s">
        <v>9</v>
      </c>
      <c r="D3" s="5" t="s">
        <v>10</v>
      </c>
      <c r="E3" s="5" t="s">
        <v>11</v>
      </c>
      <c r="F3" s="127" t="s">
        <v>12</v>
      </c>
      <c r="G3" s="127" t="s">
        <v>13</v>
      </c>
      <c r="H3" s="127"/>
      <c r="I3" s="127"/>
      <c r="J3" s="127"/>
      <c r="K3" s="127"/>
      <c r="L3" s="127"/>
      <c r="M3" s="127" t="s">
        <v>14</v>
      </c>
    </row>
    <row r="4" spans="1:17" ht="20.100000000000001" customHeight="1">
      <c r="A4" s="157"/>
      <c r="B4" s="157"/>
      <c r="C4" s="157"/>
      <c r="D4" s="6" t="s">
        <v>17</v>
      </c>
      <c r="E4" s="6" t="s">
        <v>18</v>
      </c>
      <c r="F4" s="157"/>
      <c r="G4" s="6"/>
      <c r="H4" s="6"/>
      <c r="I4" s="6"/>
      <c r="J4" s="6"/>
      <c r="K4" s="6"/>
      <c r="L4" s="6"/>
      <c r="M4" s="157"/>
    </row>
    <row r="5" spans="1:17" ht="20.100000000000001" customHeight="1">
      <c r="A5" s="158"/>
      <c r="B5" s="158"/>
      <c r="C5" s="158"/>
      <c r="D5" s="7" t="s">
        <v>15</v>
      </c>
      <c r="E5" s="7" t="s">
        <v>16</v>
      </c>
      <c r="F5" s="158"/>
      <c r="G5" s="7"/>
      <c r="H5" s="7"/>
      <c r="I5" s="7"/>
      <c r="J5" s="7"/>
      <c r="K5" s="7"/>
      <c r="L5" s="7"/>
      <c r="M5" s="158"/>
    </row>
    <row r="6" spans="1:17" ht="20.100000000000001" customHeight="1">
      <c r="A6" s="8" t="s">
        <v>19</v>
      </c>
      <c r="B6" s="8"/>
      <c r="C6" s="9"/>
      <c r="D6" s="30"/>
      <c r="E6" s="10"/>
      <c r="F6" s="30"/>
      <c r="G6" s="10" t="s">
        <v>20</v>
      </c>
      <c r="H6" s="10" t="s">
        <v>21</v>
      </c>
      <c r="I6" s="10"/>
      <c r="J6" s="10"/>
      <c r="K6" s="10"/>
      <c r="L6" s="10"/>
      <c r="M6" s="8"/>
    </row>
    <row r="7" spans="1:17" ht="20.100000000000001" customHeight="1">
      <c r="A7" s="11"/>
      <c r="B7" s="11"/>
      <c r="C7" s="12"/>
      <c r="D7" s="31"/>
      <c r="E7" s="13"/>
      <c r="F7" s="31"/>
      <c r="G7" s="14"/>
      <c r="H7" s="14"/>
      <c r="I7" s="13">
        <v>0</v>
      </c>
      <c r="J7" s="13">
        <v>0</v>
      </c>
      <c r="K7" s="13">
        <v>0</v>
      </c>
      <c r="L7" s="13">
        <v>0</v>
      </c>
      <c r="M7" s="11"/>
    </row>
    <row r="8" spans="1:17" ht="20.100000000000001" customHeight="1">
      <c r="A8" s="15" t="s">
        <v>22</v>
      </c>
      <c r="B8" s="15" t="s">
        <v>539</v>
      </c>
      <c r="C8" s="16" t="s">
        <v>23</v>
      </c>
      <c r="D8" s="32"/>
      <c r="E8" s="18"/>
      <c r="F8" s="32"/>
      <c r="G8" s="17"/>
      <c r="H8" s="17"/>
      <c r="I8" s="17"/>
      <c r="J8" s="17"/>
      <c r="K8" s="17"/>
      <c r="L8" s="17"/>
      <c r="M8" s="19"/>
    </row>
    <row r="9" spans="1:17" ht="20.100000000000001" customHeight="1">
      <c r="A9" s="20"/>
      <c r="B9" s="20"/>
      <c r="C9" s="21"/>
      <c r="D9" s="33"/>
      <c r="E9" s="22"/>
      <c r="F9" s="36"/>
      <c r="G9" s="23"/>
      <c r="H9" s="23"/>
      <c r="I9" s="23"/>
      <c r="J9" s="23"/>
      <c r="K9" s="23"/>
      <c r="L9" s="23"/>
      <c r="M9" s="20"/>
      <c r="Q9">
        <v>1</v>
      </c>
    </row>
    <row r="10" spans="1:17" ht="20.100000000000001" customHeight="1">
      <c r="A10" s="15" t="s">
        <v>22</v>
      </c>
      <c r="B10" s="15" t="s">
        <v>540</v>
      </c>
      <c r="C10" s="16" t="s">
        <v>23</v>
      </c>
      <c r="D10" s="32"/>
      <c r="E10" s="18"/>
      <c r="F10" s="32"/>
      <c r="G10" s="17"/>
      <c r="H10" s="17"/>
      <c r="I10" s="17"/>
      <c r="J10" s="17"/>
      <c r="K10" s="17"/>
      <c r="L10" s="17"/>
      <c r="M10" s="19"/>
    </row>
    <row r="11" spans="1:17" ht="20.100000000000001" customHeight="1">
      <c r="A11" s="20"/>
      <c r="B11" s="20"/>
      <c r="C11" s="21"/>
      <c r="D11" s="33"/>
      <c r="E11" s="22"/>
      <c r="F11" s="36"/>
      <c r="G11" s="23"/>
      <c r="H11" s="23"/>
      <c r="I11" s="23"/>
      <c r="J11" s="23"/>
      <c r="K11" s="23"/>
      <c r="L11" s="23"/>
      <c r="M11" s="20"/>
      <c r="Q11">
        <v>1</v>
      </c>
    </row>
    <row r="12" spans="1:17" ht="20.100000000000001" customHeight="1">
      <c r="A12" s="15" t="s">
        <v>24</v>
      </c>
      <c r="B12" s="15" t="s">
        <v>540</v>
      </c>
      <c r="C12" s="16" t="s">
        <v>23</v>
      </c>
      <c r="D12" s="32"/>
      <c r="E12" s="18"/>
      <c r="F12" s="32"/>
      <c r="G12" s="17"/>
      <c r="H12" s="17"/>
      <c r="I12" s="17"/>
      <c r="J12" s="17"/>
      <c r="K12" s="17"/>
      <c r="L12" s="17"/>
      <c r="M12" s="19"/>
    </row>
    <row r="13" spans="1:17" ht="20.100000000000001" customHeight="1">
      <c r="A13" s="20"/>
      <c r="B13" s="20"/>
      <c r="C13" s="21"/>
      <c r="D13" s="33"/>
      <c r="E13" s="22"/>
      <c r="F13" s="36"/>
      <c r="G13" s="23"/>
      <c r="H13" s="23"/>
      <c r="I13" s="23"/>
      <c r="J13" s="23"/>
      <c r="K13" s="23"/>
      <c r="L13" s="23"/>
      <c r="M13" s="20"/>
      <c r="Q13">
        <v>1</v>
      </c>
    </row>
    <row r="14" spans="1:17" ht="20.100000000000001" customHeight="1">
      <c r="A14" s="15" t="s">
        <v>25</v>
      </c>
      <c r="B14" s="15" t="s">
        <v>26</v>
      </c>
      <c r="C14" s="16" t="s">
        <v>27</v>
      </c>
      <c r="D14" s="32"/>
      <c r="E14" s="18"/>
      <c r="F14" s="32"/>
      <c r="G14" s="17"/>
      <c r="H14" s="17"/>
      <c r="I14" s="17"/>
      <c r="J14" s="17"/>
      <c r="K14" s="17"/>
      <c r="L14" s="17"/>
      <c r="M14" s="19"/>
    </row>
    <row r="15" spans="1:17" ht="20.100000000000001" customHeight="1">
      <c r="A15" s="20"/>
      <c r="B15" s="20"/>
      <c r="C15" s="21"/>
      <c r="D15" s="33"/>
      <c r="E15" s="22"/>
      <c r="F15" s="36"/>
      <c r="G15" s="23"/>
      <c r="H15" s="23"/>
      <c r="I15" s="23"/>
      <c r="J15" s="23"/>
      <c r="K15" s="23"/>
      <c r="L15" s="23"/>
      <c r="M15" s="20"/>
      <c r="Q15">
        <v>1</v>
      </c>
    </row>
    <row r="16" spans="1:17" ht="20.100000000000001" customHeight="1">
      <c r="A16" s="15" t="s">
        <v>28</v>
      </c>
      <c r="B16" s="15" t="s">
        <v>542</v>
      </c>
      <c r="C16" s="16" t="s">
        <v>27</v>
      </c>
      <c r="D16" s="32"/>
      <c r="E16" s="18"/>
      <c r="F16" s="32"/>
      <c r="G16" s="17"/>
      <c r="H16" s="17"/>
      <c r="I16" s="17"/>
      <c r="J16" s="17"/>
      <c r="K16" s="17"/>
      <c r="L16" s="17"/>
      <c r="M16" s="19"/>
    </row>
    <row r="17" spans="1:17" ht="20.100000000000001" customHeight="1">
      <c r="A17" s="20"/>
      <c r="B17" s="20"/>
      <c r="C17" s="21"/>
      <c r="D17" s="33"/>
      <c r="E17" s="22"/>
      <c r="F17" s="36"/>
      <c r="G17" s="23"/>
      <c r="H17" s="23"/>
      <c r="I17" s="23"/>
      <c r="J17" s="23"/>
      <c r="K17" s="23"/>
      <c r="L17" s="23"/>
      <c r="M17" s="20"/>
      <c r="Q17">
        <v>1</v>
      </c>
    </row>
    <row r="18" spans="1:17" ht="20.100000000000001" customHeight="1">
      <c r="A18" s="15" t="s">
        <v>28</v>
      </c>
      <c r="B18" s="15" t="s">
        <v>541</v>
      </c>
      <c r="C18" s="16" t="s">
        <v>27</v>
      </c>
      <c r="D18" s="32"/>
      <c r="E18" s="18"/>
      <c r="F18" s="32"/>
      <c r="G18" s="17"/>
      <c r="H18" s="17"/>
      <c r="I18" s="17"/>
      <c r="J18" s="17"/>
      <c r="K18" s="17"/>
      <c r="L18" s="17"/>
      <c r="M18" s="19"/>
    </row>
    <row r="19" spans="1:17" ht="20.100000000000001" customHeight="1">
      <c r="A19" s="20"/>
      <c r="B19" s="20"/>
      <c r="C19" s="21"/>
      <c r="D19" s="33"/>
      <c r="E19" s="22"/>
      <c r="F19" s="36"/>
      <c r="G19" s="23"/>
      <c r="H19" s="23"/>
      <c r="I19" s="23"/>
      <c r="J19" s="23"/>
      <c r="K19" s="23"/>
      <c r="L19" s="23"/>
      <c r="M19" s="20"/>
      <c r="Q19">
        <v>1</v>
      </c>
    </row>
    <row r="20" spans="1:17" ht="20.100000000000001" customHeight="1">
      <c r="A20" s="15" t="s">
        <v>29</v>
      </c>
      <c r="B20" s="15" t="s">
        <v>30</v>
      </c>
      <c r="C20" s="16" t="s">
        <v>27</v>
      </c>
      <c r="D20" s="32"/>
      <c r="E20" s="18"/>
      <c r="F20" s="32"/>
      <c r="G20" s="17"/>
      <c r="H20" s="17"/>
      <c r="I20" s="17"/>
      <c r="J20" s="17"/>
      <c r="K20" s="17"/>
      <c r="L20" s="17"/>
      <c r="M20" s="19"/>
    </row>
    <row r="21" spans="1:17" ht="20.100000000000001" customHeight="1">
      <c r="A21" s="20"/>
      <c r="B21" s="20"/>
      <c r="C21" s="21"/>
      <c r="D21" s="33"/>
      <c r="E21" s="22"/>
      <c r="F21" s="36"/>
      <c r="G21" s="23"/>
      <c r="H21" s="23"/>
      <c r="I21" s="23"/>
      <c r="J21" s="23"/>
      <c r="K21" s="23"/>
      <c r="L21" s="23"/>
      <c r="M21" s="20"/>
      <c r="Q21">
        <v>1</v>
      </c>
    </row>
    <row r="22" spans="1:17" ht="20.100000000000001" customHeight="1">
      <c r="A22" s="15"/>
      <c r="B22" s="15"/>
      <c r="C22" s="16"/>
      <c r="D22" s="32"/>
      <c r="E22" s="18"/>
      <c r="F22" s="32"/>
      <c r="G22" s="17"/>
      <c r="H22" s="17"/>
      <c r="I22" s="17"/>
      <c r="J22" s="17"/>
      <c r="K22" s="17"/>
      <c r="L22" s="17"/>
      <c r="M22" s="19"/>
    </row>
    <row r="23" spans="1:17" ht="20.100000000000001" customHeight="1">
      <c r="A23" s="20"/>
      <c r="B23" s="20"/>
      <c r="C23" s="21"/>
      <c r="D23" s="33"/>
      <c r="E23" s="22"/>
      <c r="F23" s="36"/>
      <c r="G23" s="23"/>
      <c r="H23" s="23"/>
      <c r="I23" s="23"/>
      <c r="J23" s="23"/>
      <c r="K23" s="23"/>
      <c r="L23" s="23"/>
      <c r="M23" s="20"/>
    </row>
    <row r="24" spans="1:17" ht="20.100000000000001" customHeight="1">
      <c r="A24" s="24" t="s">
        <v>31</v>
      </c>
      <c r="B24" s="25"/>
      <c r="C24" s="24"/>
      <c r="D24" s="34"/>
      <c r="E24" s="26"/>
      <c r="F24" s="34"/>
      <c r="G24" s="26">
        <f>SUMIF(Q6:Q21, "1", G6:G21)</f>
        <v>0</v>
      </c>
      <c r="H24" s="26">
        <f>SUMIF(Q6:Q21, "1", H6:H21)</f>
        <v>0</v>
      </c>
      <c r="I24" s="26"/>
      <c r="J24" s="26"/>
      <c r="K24" s="26"/>
      <c r="L24" s="26"/>
      <c r="M24" s="25"/>
    </row>
    <row r="25" spans="1:17" ht="20.100000000000001" customHeight="1">
      <c r="A25" s="27"/>
      <c r="B25" s="27"/>
      <c r="C25" s="28"/>
      <c r="D25" s="35"/>
      <c r="E25" s="29"/>
      <c r="F25" s="35"/>
      <c r="G25" s="29">
        <f>ROUND(G24*100/100, 1)</f>
        <v>0</v>
      </c>
      <c r="H25" s="29">
        <f>ROUND(H24*100/100, 1)</f>
        <v>0</v>
      </c>
      <c r="I25" s="29"/>
      <c r="J25" s="29"/>
      <c r="K25" s="29"/>
      <c r="L25" s="29"/>
      <c r="M25" s="27"/>
    </row>
  </sheetData>
  <mergeCells count="8">
    <mergeCell ref="A1:M1"/>
    <mergeCell ref="A2:M2"/>
    <mergeCell ref="A3:A5"/>
    <mergeCell ref="B3:B5"/>
    <mergeCell ref="C3:C5"/>
    <mergeCell ref="F3:F5"/>
    <mergeCell ref="M3:M5"/>
    <mergeCell ref="G3:L3"/>
  </mergeCells>
  <phoneticPr fontId="1" type="noConversion"/>
  <pageMargins left="0.78740157480314965" right="0.39370078740157483" top="0.59055118110236227" bottom="0.47244094488188981" header="0.31496062992125984" footer="0.15748031496062992"/>
  <pageSetup paperSize="9" orientation="landscape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9D86"/>
  </sheetPr>
  <dimension ref="A1:I31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25" sqref="D25"/>
    </sheetView>
  </sheetViews>
  <sheetFormatPr defaultRowHeight="16.5"/>
  <cols>
    <col min="1" max="2" width="3.625" customWidth="1"/>
    <col min="3" max="3" width="19.125" style="2" customWidth="1"/>
    <col min="4" max="4" width="62.75" style="2" customWidth="1"/>
    <col min="5" max="5" width="15.625" style="4" customWidth="1"/>
    <col min="6" max="6" width="18.625" style="2" customWidth="1"/>
    <col min="7" max="9" width="9" hidden="1" customWidth="1"/>
    <col min="10" max="11" width="9" customWidth="1"/>
  </cols>
  <sheetData>
    <row r="1" spans="1:9" ht="30" customHeight="1">
      <c r="A1" s="118" t="s">
        <v>460</v>
      </c>
      <c r="B1" s="118"/>
      <c r="C1" s="118"/>
      <c r="D1" s="118"/>
      <c r="E1" s="118"/>
      <c r="F1" s="118"/>
    </row>
    <row r="2" spans="1:9" ht="15.95" customHeight="1">
      <c r="A2" s="119" t="s">
        <v>534</v>
      </c>
      <c r="B2" s="120"/>
      <c r="C2" s="120"/>
      <c r="D2" s="120"/>
      <c r="E2" s="120"/>
      <c r="F2" s="120"/>
    </row>
    <row r="3" spans="1:9" ht="12" customHeight="1">
      <c r="A3" s="121" t="s">
        <v>461</v>
      </c>
      <c r="B3" s="122"/>
      <c r="C3" s="123"/>
      <c r="D3" s="127" t="s">
        <v>462</v>
      </c>
      <c r="E3" s="127" t="s">
        <v>463</v>
      </c>
      <c r="F3" s="127" t="s">
        <v>231</v>
      </c>
    </row>
    <row r="4" spans="1:9" ht="12" customHeight="1">
      <c r="A4" s="124"/>
      <c r="B4" s="125"/>
      <c r="C4" s="126"/>
      <c r="D4" s="127"/>
      <c r="E4" s="127"/>
      <c r="F4" s="127"/>
    </row>
    <row r="5" spans="1:9" ht="15.95" customHeight="1">
      <c r="A5" s="128" t="s">
        <v>507</v>
      </c>
      <c r="B5" s="128" t="s">
        <v>71</v>
      </c>
      <c r="C5" s="55" t="s">
        <v>508</v>
      </c>
      <c r="D5" s="55" t="s">
        <v>53</v>
      </c>
      <c r="E5" s="63"/>
      <c r="F5" s="55" t="s">
        <v>53</v>
      </c>
      <c r="G5" s="1" t="s">
        <v>464</v>
      </c>
      <c r="H5">
        <v>0</v>
      </c>
      <c r="I5">
        <f t="shared" ref="I5:I24" si="0">E5</f>
        <v>0</v>
      </c>
    </row>
    <row r="6" spans="1:9" ht="15.95" customHeight="1">
      <c r="A6" s="129"/>
      <c r="B6" s="129"/>
      <c r="C6" s="56" t="s">
        <v>509</v>
      </c>
      <c r="D6" s="56" t="s">
        <v>53</v>
      </c>
      <c r="E6" s="64">
        <f>ROUNDDOWN(E5*H6, 0)</f>
        <v>0</v>
      </c>
      <c r="F6" s="56"/>
      <c r="G6" s="1" t="s">
        <v>465</v>
      </c>
      <c r="H6">
        <v>0</v>
      </c>
      <c r="I6">
        <f t="shared" si="0"/>
        <v>0</v>
      </c>
    </row>
    <row r="7" spans="1:9" ht="15.95" customHeight="1">
      <c r="A7" s="130"/>
      <c r="B7" s="130"/>
      <c r="C7" s="57" t="s">
        <v>510</v>
      </c>
      <c r="D7" s="57" t="s">
        <v>53</v>
      </c>
      <c r="E7" s="48">
        <f>SUM(E5:E5)-ABS(0)</f>
        <v>0</v>
      </c>
      <c r="F7" s="57" t="s">
        <v>53</v>
      </c>
      <c r="G7" s="1" t="s">
        <v>466</v>
      </c>
      <c r="H7">
        <v>0</v>
      </c>
      <c r="I7">
        <f t="shared" si="0"/>
        <v>0</v>
      </c>
    </row>
    <row r="8" spans="1:9" ht="15.95" customHeight="1">
      <c r="A8" s="131"/>
      <c r="B8" s="128" t="s">
        <v>73</v>
      </c>
      <c r="C8" s="55" t="s">
        <v>511</v>
      </c>
      <c r="D8" s="55" t="s">
        <v>53</v>
      </c>
      <c r="E8" s="63"/>
      <c r="F8" s="55" t="s">
        <v>53</v>
      </c>
      <c r="G8" s="1" t="s">
        <v>467</v>
      </c>
      <c r="H8">
        <v>0</v>
      </c>
      <c r="I8">
        <f t="shared" si="0"/>
        <v>0</v>
      </c>
    </row>
    <row r="9" spans="1:9" ht="15.95" customHeight="1">
      <c r="A9" s="129"/>
      <c r="B9" s="129"/>
      <c r="C9" s="56" t="s">
        <v>512</v>
      </c>
      <c r="D9" s="58" t="str">
        <f>"직.노*"&amp;H9*100&amp;"%"</f>
        <v>직.노*15%</v>
      </c>
      <c r="E9" s="64">
        <f>ROUNDDOWN(E8*H9, 0)</f>
        <v>0</v>
      </c>
      <c r="F9" s="56" t="s">
        <v>53</v>
      </c>
      <c r="G9" s="1" t="s">
        <v>468</v>
      </c>
      <c r="H9">
        <v>0.15</v>
      </c>
      <c r="I9">
        <f t="shared" si="0"/>
        <v>0</v>
      </c>
    </row>
    <row r="10" spans="1:9" ht="15.95" customHeight="1">
      <c r="A10" s="130"/>
      <c r="B10" s="130"/>
      <c r="C10" s="57" t="s">
        <v>510</v>
      </c>
      <c r="D10" s="57" t="s">
        <v>53</v>
      </c>
      <c r="E10" s="48">
        <f>SUM(E8:E9)</f>
        <v>0</v>
      </c>
      <c r="F10" s="57" t="s">
        <v>53</v>
      </c>
      <c r="G10" s="1" t="s">
        <v>469</v>
      </c>
      <c r="H10">
        <v>0</v>
      </c>
      <c r="I10">
        <f t="shared" si="0"/>
        <v>0</v>
      </c>
    </row>
    <row r="11" spans="1:9" ht="15.95" customHeight="1">
      <c r="A11" s="131"/>
      <c r="B11" s="128" t="s">
        <v>513</v>
      </c>
      <c r="C11" s="55" t="s">
        <v>514</v>
      </c>
      <c r="D11" s="55" t="s">
        <v>53</v>
      </c>
      <c r="E11" s="63"/>
      <c r="F11" s="55" t="s">
        <v>53</v>
      </c>
      <c r="G11" s="1" t="s">
        <v>470</v>
      </c>
      <c r="H11">
        <v>0</v>
      </c>
      <c r="I11">
        <f t="shared" si="0"/>
        <v>0</v>
      </c>
    </row>
    <row r="12" spans="1:9" ht="15.95" customHeight="1">
      <c r="A12" s="132"/>
      <c r="B12" s="132"/>
      <c r="C12" s="60" t="s">
        <v>515</v>
      </c>
      <c r="D12" s="59" t="str">
        <f>"(노)*"&amp;H12*100&amp;"%"</f>
        <v>(노)*3.56%</v>
      </c>
      <c r="E12" s="65">
        <f>ROUNDDOWN((E10)*H12, 0)</f>
        <v>0</v>
      </c>
      <c r="F12" s="60" t="s">
        <v>53</v>
      </c>
      <c r="G12" s="1" t="s">
        <v>471</v>
      </c>
      <c r="H12">
        <v>3.56E-2</v>
      </c>
      <c r="I12">
        <f t="shared" si="0"/>
        <v>0</v>
      </c>
    </row>
    <row r="13" spans="1:9" ht="15.95" customHeight="1">
      <c r="A13" s="132"/>
      <c r="B13" s="132"/>
      <c r="C13" s="60" t="s">
        <v>516</v>
      </c>
      <c r="D13" s="59" t="str">
        <f>"(노)*"&amp;H13*100&amp;"%"</f>
        <v>(노)*1.01%</v>
      </c>
      <c r="E13" s="65">
        <f>ROUNDDOWN((E10)*H13, 0)</f>
        <v>0</v>
      </c>
      <c r="F13" s="60" t="s">
        <v>53</v>
      </c>
      <c r="G13" s="1" t="s">
        <v>472</v>
      </c>
      <c r="H13">
        <v>1.01E-2</v>
      </c>
      <c r="I13">
        <f t="shared" si="0"/>
        <v>0</v>
      </c>
    </row>
    <row r="14" spans="1:9" ht="15.95" customHeight="1">
      <c r="A14" s="132"/>
      <c r="B14" s="132"/>
      <c r="C14" s="60" t="s">
        <v>517</v>
      </c>
      <c r="D14" s="59" t="str">
        <f>"(직.노)*"&amp;H14*100&amp;"%"</f>
        <v>(직.노)*3.545%</v>
      </c>
      <c r="E14" s="65">
        <f>ROUNDDOWN((E8)*H14, 0)</f>
        <v>0</v>
      </c>
      <c r="F14" s="60" t="s">
        <v>53</v>
      </c>
      <c r="G14" s="1" t="s">
        <v>473</v>
      </c>
      <c r="H14">
        <v>3.5450000000000002E-2</v>
      </c>
      <c r="I14">
        <f t="shared" si="0"/>
        <v>0</v>
      </c>
    </row>
    <row r="15" spans="1:9" ht="15.95" customHeight="1">
      <c r="A15" s="132"/>
      <c r="B15" s="132"/>
      <c r="C15" s="60" t="s">
        <v>518</v>
      </c>
      <c r="D15" s="59" t="str">
        <f>"(직.노)*"&amp;H15*100&amp;"%"</f>
        <v>(직.노)*4.5%</v>
      </c>
      <c r="E15" s="65">
        <f>ROUNDDOWN((E8)*H15, 0)</f>
        <v>0</v>
      </c>
      <c r="F15" s="60" t="s">
        <v>53</v>
      </c>
      <c r="G15" s="1" t="s">
        <v>474</v>
      </c>
      <c r="H15">
        <v>4.4999999999999998E-2</v>
      </c>
      <c r="I15">
        <f t="shared" si="0"/>
        <v>0</v>
      </c>
    </row>
    <row r="16" spans="1:9" ht="15.95" customHeight="1">
      <c r="A16" s="132"/>
      <c r="B16" s="132"/>
      <c r="C16" s="60" t="s">
        <v>519</v>
      </c>
      <c r="D16" s="59" t="str">
        <f>"(건강보험료)*"&amp;H16*100&amp;"%"</f>
        <v>(건강보험료)*12.95%</v>
      </c>
      <c r="E16" s="65">
        <f>ROUNDDOWN((E14)*H16, 0)</f>
        <v>0</v>
      </c>
      <c r="F16" s="60" t="s">
        <v>53</v>
      </c>
      <c r="G16" s="1" t="s">
        <v>475</v>
      </c>
      <c r="H16">
        <v>0.1295</v>
      </c>
      <c r="I16">
        <f t="shared" si="0"/>
        <v>0</v>
      </c>
    </row>
    <row r="17" spans="1:9" ht="15.95" customHeight="1">
      <c r="A17" s="132"/>
      <c r="B17" s="132"/>
      <c r="C17" s="60" t="s">
        <v>520</v>
      </c>
      <c r="D17" s="59" t="str">
        <f>"(직.노)*"&amp;H17*100&amp;"%"</f>
        <v>(직.노)*2.3%</v>
      </c>
      <c r="E17" s="65">
        <f>ROUNDDOWN((E8)*H17, 0)</f>
        <v>0</v>
      </c>
      <c r="F17" s="60" t="s">
        <v>53</v>
      </c>
      <c r="G17" s="1" t="s">
        <v>476</v>
      </c>
      <c r="H17">
        <v>2.3E-2</v>
      </c>
      <c r="I17">
        <f t="shared" si="0"/>
        <v>0</v>
      </c>
    </row>
    <row r="18" spans="1:9" ht="15.95" customHeight="1">
      <c r="A18" s="132"/>
      <c r="B18" s="132"/>
      <c r="C18" s="60" t="s">
        <v>521</v>
      </c>
      <c r="D18" s="59" t="str">
        <f>"(재+직.노)*"&amp;H18*100&amp;"%"</f>
        <v>(재+직.노)*3.11%</v>
      </c>
      <c r="E18" s="65">
        <f>ROUNDDOWN((E7+E8)*H18, 0)</f>
        <v>0</v>
      </c>
      <c r="F18" s="60" t="s">
        <v>53</v>
      </c>
      <c r="G18" s="1" t="s">
        <v>477</v>
      </c>
      <c r="H18">
        <v>3.1099999999999999E-2</v>
      </c>
      <c r="I18">
        <f t="shared" si="0"/>
        <v>0</v>
      </c>
    </row>
    <row r="19" spans="1:9" ht="15.95" customHeight="1">
      <c r="A19" s="132"/>
      <c r="B19" s="132"/>
      <c r="C19" s="60" t="s">
        <v>522</v>
      </c>
      <c r="D19" s="59" t="str">
        <f>"(재+노)*"&amp;H19*100&amp;"%"</f>
        <v>(재+노)*4.6%</v>
      </c>
      <c r="E19" s="65">
        <f>ROUNDDOWN((E7+E10)*H19, 0)</f>
        <v>0</v>
      </c>
      <c r="F19" s="60" t="s">
        <v>53</v>
      </c>
      <c r="G19" s="1" t="s">
        <v>478</v>
      </c>
      <c r="H19">
        <v>4.5999999999999999E-2</v>
      </c>
      <c r="I19">
        <f t="shared" si="0"/>
        <v>0</v>
      </c>
    </row>
    <row r="20" spans="1:9" ht="15.95" customHeight="1">
      <c r="A20" s="132"/>
      <c r="B20" s="132"/>
      <c r="C20" s="60" t="s">
        <v>523</v>
      </c>
      <c r="D20" s="59" t="str">
        <f>"(재+직.노+기.경)*"&amp;H20*100&amp;"%"</f>
        <v>(재+직.노+기.경)*0.3%</v>
      </c>
      <c r="E20" s="65">
        <f>ROUNDDOWN((E7+E8+E11)*H20, 0)</f>
        <v>0</v>
      </c>
      <c r="F20" s="60" t="s">
        <v>53</v>
      </c>
      <c r="G20" s="1" t="s">
        <v>479</v>
      </c>
      <c r="H20">
        <v>3.0000000000000001E-3</v>
      </c>
      <c r="I20">
        <f t="shared" si="0"/>
        <v>0</v>
      </c>
    </row>
    <row r="21" spans="1:9" ht="15.95" customHeight="1">
      <c r="A21" s="129"/>
      <c r="B21" s="129"/>
      <c r="C21" s="56" t="s">
        <v>524</v>
      </c>
      <c r="D21" s="56"/>
      <c r="E21" s="64"/>
      <c r="F21" s="56" t="s">
        <v>53</v>
      </c>
      <c r="G21" s="1" t="s">
        <v>480</v>
      </c>
      <c r="H21">
        <v>0</v>
      </c>
      <c r="I21">
        <f t="shared" si="0"/>
        <v>0</v>
      </c>
    </row>
    <row r="22" spans="1:9" ht="15.95" customHeight="1">
      <c r="A22" s="130"/>
      <c r="B22" s="130"/>
      <c r="C22" s="57" t="s">
        <v>510</v>
      </c>
      <c r="D22" s="57" t="s">
        <v>53</v>
      </c>
      <c r="E22" s="48">
        <f>SUM(E11:E21)</f>
        <v>0</v>
      </c>
      <c r="F22" s="57" t="s">
        <v>53</v>
      </c>
      <c r="G22" s="1" t="s">
        <v>481</v>
      </c>
      <c r="H22">
        <v>0</v>
      </c>
      <c r="I22">
        <f t="shared" si="0"/>
        <v>0</v>
      </c>
    </row>
    <row r="23" spans="1:9" ht="15.95" customHeight="1">
      <c r="A23" s="130"/>
      <c r="B23" s="114" t="s">
        <v>525</v>
      </c>
      <c r="C23" s="115"/>
      <c r="D23" s="57" t="s">
        <v>53</v>
      </c>
      <c r="E23" s="48">
        <f>E7+E10+E22</f>
        <v>0</v>
      </c>
      <c r="F23" s="57" t="s">
        <v>53</v>
      </c>
      <c r="G23" s="1" t="s">
        <v>482</v>
      </c>
      <c r="H23">
        <v>0</v>
      </c>
      <c r="I23">
        <f t="shared" si="0"/>
        <v>0</v>
      </c>
    </row>
    <row r="24" spans="1:9" ht="15.95" customHeight="1">
      <c r="A24" s="116" t="s">
        <v>526</v>
      </c>
      <c r="B24" s="117"/>
      <c r="C24" s="117"/>
      <c r="D24" s="61" t="str">
        <f>"(재+노+경)*"&amp;H24*100&amp;"%"</f>
        <v>(재+노+경)*8%</v>
      </c>
      <c r="E24" s="66">
        <f>ROUNDDOWN((E7+E10+E22)*H24, 0)</f>
        <v>0</v>
      </c>
      <c r="F24" s="62" t="s">
        <v>53</v>
      </c>
      <c r="G24" s="1" t="s">
        <v>483</v>
      </c>
      <c r="H24">
        <v>0.08</v>
      </c>
      <c r="I24">
        <f t="shared" si="0"/>
        <v>0</v>
      </c>
    </row>
    <row r="25" spans="1:9" ht="15.95" customHeight="1">
      <c r="A25" s="116" t="s">
        <v>484</v>
      </c>
      <c r="B25" s="117"/>
      <c r="C25" s="117"/>
      <c r="D25" s="61" t="str">
        <f>"(노+경+일)*"&amp;H25*100&amp;"%"</f>
        <v>(노+경+일)*15%</v>
      </c>
      <c r="E25" s="66">
        <f>ROUNDDOWN((E10+E22+E24)*H25, 0)</f>
        <v>0</v>
      </c>
      <c r="F25" s="62" t="s">
        <v>53</v>
      </c>
      <c r="G25" s="1" t="s">
        <v>239</v>
      </c>
      <c r="H25">
        <v>0.15</v>
      </c>
      <c r="I25">
        <f>(I10+I22+I24)*H25</f>
        <v>0</v>
      </c>
    </row>
    <row r="26" spans="1:9" ht="15.95" customHeight="1">
      <c r="A26" s="116" t="s">
        <v>533</v>
      </c>
      <c r="B26" s="117"/>
      <c r="C26" s="117"/>
      <c r="D26" s="62" t="s">
        <v>53</v>
      </c>
      <c r="E26" s="66"/>
      <c r="F26" s="62" t="s">
        <v>53</v>
      </c>
      <c r="G26" s="1" t="s">
        <v>527</v>
      </c>
      <c r="H26">
        <v>0</v>
      </c>
      <c r="I26">
        <f>E26</f>
        <v>0</v>
      </c>
    </row>
    <row r="27" spans="1:9" ht="15.95" customHeight="1">
      <c r="A27" s="116" t="s">
        <v>485</v>
      </c>
      <c r="B27" s="117"/>
      <c r="C27" s="117"/>
      <c r="D27" s="62" t="s">
        <v>53</v>
      </c>
      <c r="E27" s="66">
        <f>SUM(E23:E26)</f>
        <v>0</v>
      </c>
      <c r="F27" s="62" t="s">
        <v>53</v>
      </c>
      <c r="G27" s="1" t="s">
        <v>486</v>
      </c>
      <c r="H27">
        <v>0</v>
      </c>
      <c r="I27">
        <f>SUM(I23:I25)</f>
        <v>0</v>
      </c>
    </row>
    <row r="28" spans="1:9" ht="15.95" customHeight="1">
      <c r="A28" s="114" t="s">
        <v>537</v>
      </c>
      <c r="B28" s="115"/>
      <c r="C28" s="115"/>
      <c r="D28" s="57" t="s">
        <v>53</v>
      </c>
      <c r="E28" s="104" t="s">
        <v>538</v>
      </c>
      <c r="F28" s="57" t="s">
        <v>53</v>
      </c>
      <c r="G28" s="1" t="s">
        <v>487</v>
      </c>
      <c r="H28">
        <v>0</v>
      </c>
      <c r="I28" t="e">
        <f>I27+I27+#REF!+-1000</f>
        <v>#REF!</v>
      </c>
    </row>
    <row r="29" spans="1:9" ht="15.95" customHeight="1">
      <c r="A29" s="114" t="s">
        <v>488</v>
      </c>
      <c r="B29" s="115"/>
      <c r="C29" s="115"/>
      <c r="D29" s="57" t="s">
        <v>53</v>
      </c>
      <c r="E29" s="48">
        <f>ROUNDDOWN(E31, -4)</f>
        <v>0</v>
      </c>
      <c r="F29" s="57" t="s">
        <v>53</v>
      </c>
      <c r="H29">
        <v>0</v>
      </c>
      <c r="I29" t="e">
        <f>I28</f>
        <v>#REF!</v>
      </c>
    </row>
    <row r="31" spans="1:9">
      <c r="E31" s="4">
        <f>SUM(E27:E27)</f>
        <v>0</v>
      </c>
    </row>
  </sheetData>
  <mergeCells count="17">
    <mergeCell ref="A24:C24"/>
    <mergeCell ref="A1:F1"/>
    <mergeCell ref="A2:F2"/>
    <mergeCell ref="A3:C4"/>
    <mergeCell ref="D3:D4"/>
    <mergeCell ref="E3:E4"/>
    <mergeCell ref="F3:F4"/>
    <mergeCell ref="A5:A23"/>
    <mergeCell ref="B5:B7"/>
    <mergeCell ref="B8:B10"/>
    <mergeCell ref="B11:B22"/>
    <mergeCell ref="B23:C23"/>
    <mergeCell ref="A29:C29"/>
    <mergeCell ref="A25:C25"/>
    <mergeCell ref="A27:C27"/>
    <mergeCell ref="A26:C26"/>
    <mergeCell ref="A28:C28"/>
  </mergeCells>
  <phoneticPr fontId="1" type="noConversion"/>
  <conditionalFormatting sqref="A5:F29">
    <cfRule type="containsText" dxfId="21" priority="1" stopIfTrue="1" operator="containsText" text=".">
      <formula>NOT(ISERROR(SEARCH(".",A5)))</formula>
    </cfRule>
    <cfRule type="notContainsText" dxfId="20" priority="2" stopIfTrue="1" operator="notContains" text=".">
      <formula>ISERROR(SEARCH(".",A5))</formula>
    </cfRule>
  </conditionalFormatting>
  <pageMargins left="0.78740157480314965" right="0.39370078740157483" top="0.47244094488188981" bottom="0.47244094488188981" header="0.31496062992125984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9D86"/>
  </sheetPr>
  <dimension ref="A1:AU2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7" sqref="I27"/>
    </sheetView>
  </sheetViews>
  <sheetFormatPr defaultRowHeight="16.5"/>
  <cols>
    <col min="1" max="1" width="6.625" style="2" customWidth="1"/>
    <col min="2" max="2" width="24.625" style="2" customWidth="1"/>
    <col min="3" max="4" width="4.625" style="3" customWidth="1"/>
    <col min="5" max="8" width="9.625" style="4" customWidth="1"/>
    <col min="9" max="10" width="8.625" style="4" customWidth="1"/>
    <col min="11" max="11" width="11.625" style="4" customWidth="1"/>
    <col min="12" max="12" width="10.625" style="2" customWidth="1"/>
    <col min="13" max="50" width="0" hidden="1" customWidth="1"/>
  </cols>
  <sheetData>
    <row r="1" spans="1:47" ht="30" customHeight="1">
      <c r="A1" s="118" t="s">
        <v>457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47" ht="20.100000000000001" customHeight="1">
      <c r="A2" s="119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47" ht="20.100000000000001" customHeight="1">
      <c r="A3" s="127" t="s">
        <v>458</v>
      </c>
      <c r="B3" s="127" t="s">
        <v>459</v>
      </c>
      <c r="C3" s="127" t="s">
        <v>9</v>
      </c>
      <c r="D3" s="127" t="s">
        <v>201</v>
      </c>
      <c r="E3" s="127" t="s">
        <v>393</v>
      </c>
      <c r="F3" s="127"/>
      <c r="G3" s="127" t="s">
        <v>394</v>
      </c>
      <c r="H3" s="127"/>
      <c r="I3" s="127" t="s">
        <v>395</v>
      </c>
      <c r="J3" s="127"/>
      <c r="K3" s="127" t="s">
        <v>396</v>
      </c>
      <c r="L3" s="127" t="s">
        <v>14</v>
      </c>
    </row>
    <row r="4" spans="1:47" ht="20.100000000000001" customHeight="1">
      <c r="A4" s="127"/>
      <c r="B4" s="127"/>
      <c r="C4" s="127"/>
      <c r="D4" s="127"/>
      <c r="E4" s="5" t="s">
        <v>41</v>
      </c>
      <c r="F4" s="5" t="s">
        <v>410</v>
      </c>
      <c r="G4" s="5" t="s">
        <v>41</v>
      </c>
      <c r="H4" s="5" t="s">
        <v>410</v>
      </c>
      <c r="I4" s="5" t="s">
        <v>41</v>
      </c>
      <c r="J4" s="5" t="s">
        <v>410</v>
      </c>
      <c r="K4" s="127"/>
      <c r="L4" s="127"/>
    </row>
    <row r="5" spans="1:47" ht="20.100000000000001" customHeight="1">
      <c r="A5" s="38" t="s">
        <v>2</v>
      </c>
      <c r="B5" s="38"/>
      <c r="C5" s="40"/>
      <c r="D5" s="54"/>
      <c r="E5" s="47"/>
      <c r="F5" s="47"/>
      <c r="G5" s="47"/>
      <c r="H5" s="47"/>
      <c r="I5" s="47"/>
      <c r="J5" s="47">
        <f>D5*I5</f>
        <v>0</v>
      </c>
      <c r="K5" s="47">
        <f>F5+H5+J5</f>
        <v>0</v>
      </c>
      <c r="L5" s="39"/>
      <c r="M5" s="1" t="s">
        <v>0</v>
      </c>
      <c r="N5" s="1" t="s">
        <v>2</v>
      </c>
      <c r="P5">
        <v>1</v>
      </c>
      <c r="Q5">
        <f>D5*내역서!Q44</f>
        <v>0</v>
      </c>
      <c r="R5">
        <f>D5*내역서!R44</f>
        <v>0</v>
      </c>
      <c r="S5">
        <f>D5*내역서!S44</f>
        <v>0</v>
      </c>
      <c r="T5">
        <f>D5*내역서!T44</f>
        <v>0</v>
      </c>
      <c r="U5">
        <f>D5*내역서!U44</f>
        <v>0</v>
      </c>
      <c r="V5">
        <f>D5*내역서!V44</f>
        <v>0</v>
      </c>
      <c r="W5">
        <f>D5*내역서!W44</f>
        <v>0</v>
      </c>
      <c r="X5">
        <f>D5*내역서!X44</f>
        <v>0</v>
      </c>
      <c r="Y5">
        <f>D5*내역서!Y44</f>
        <v>0</v>
      </c>
      <c r="Z5">
        <f>D5*내역서!Z44</f>
        <v>0</v>
      </c>
      <c r="AA5">
        <f>D5*내역서!AA44</f>
        <v>0</v>
      </c>
      <c r="AB5">
        <f>D5*내역서!AB44</f>
        <v>0</v>
      </c>
      <c r="AC5">
        <f>D5*내역서!AC44</f>
        <v>0</v>
      </c>
      <c r="AD5">
        <f>D5*내역서!AD44</f>
        <v>0</v>
      </c>
      <c r="AE5">
        <f>D5*내역서!AE44</f>
        <v>0</v>
      </c>
      <c r="AF5">
        <f>D5*내역서!AF44</f>
        <v>0</v>
      </c>
      <c r="AG5">
        <f>D5*내역서!AG44</f>
        <v>0</v>
      </c>
      <c r="AH5">
        <f>D5*내역서!AH44</f>
        <v>0</v>
      </c>
      <c r="AI5">
        <f>D5*내역서!AI44</f>
        <v>0</v>
      </c>
      <c r="AJ5">
        <f>D5*내역서!AJ44</f>
        <v>0</v>
      </c>
      <c r="AK5">
        <f>D5*내역서!AK44</f>
        <v>0</v>
      </c>
      <c r="AL5">
        <f>D5*내역서!AL44</f>
        <v>0</v>
      </c>
      <c r="AM5">
        <f>D5*내역서!AM44</f>
        <v>0</v>
      </c>
      <c r="AN5">
        <f>D5*내역서!AN44</f>
        <v>0</v>
      </c>
      <c r="AO5">
        <f>D5*내역서!AO44</f>
        <v>0</v>
      </c>
      <c r="AP5">
        <f>D5*내역서!AP44</f>
        <v>0</v>
      </c>
      <c r="AQ5">
        <f>D5*내역서!AQ44</f>
        <v>0</v>
      </c>
      <c r="AR5">
        <f>D5*내역서!AR44</f>
        <v>0</v>
      </c>
      <c r="AS5">
        <f>D5*내역서!AS44</f>
        <v>0</v>
      </c>
      <c r="AT5">
        <f>D5*내역서!AT44</f>
        <v>0</v>
      </c>
      <c r="AU5">
        <f>D5*내역서!AU44</f>
        <v>0</v>
      </c>
    </row>
    <row r="6" spans="1:47" s="101" customFormat="1" ht="20.100000000000001" customHeight="1">
      <c r="A6" s="96"/>
      <c r="B6" s="97" t="s">
        <v>536</v>
      </c>
      <c r="C6" s="97"/>
      <c r="D6" s="98"/>
      <c r="E6" s="99"/>
      <c r="F6" s="99">
        <f>SUM(F5)</f>
        <v>0</v>
      </c>
      <c r="G6" s="99"/>
      <c r="H6" s="99">
        <f>SUM(H5)</f>
        <v>0</v>
      </c>
      <c r="I6" s="99"/>
      <c r="J6" s="99">
        <f>SUM(J5)</f>
        <v>0</v>
      </c>
      <c r="K6" s="99">
        <f>F6+H6+J6</f>
        <v>0</v>
      </c>
      <c r="L6" s="100"/>
      <c r="N6" s="102" t="s">
        <v>0</v>
      </c>
      <c r="P6" s="101">
        <v>1</v>
      </c>
      <c r="Q6" s="101">
        <v>1190079</v>
      </c>
      <c r="R6" s="101">
        <v>0</v>
      </c>
      <c r="S6" s="101">
        <v>0</v>
      </c>
      <c r="T6" s="101">
        <v>0</v>
      </c>
      <c r="U6" s="101">
        <v>0</v>
      </c>
      <c r="V6" s="101">
        <v>0</v>
      </c>
      <c r="W6" s="101">
        <v>11229036</v>
      </c>
      <c r="X6" s="101">
        <v>0</v>
      </c>
      <c r="Y6" s="101">
        <v>0</v>
      </c>
      <c r="Z6" s="101">
        <v>0</v>
      </c>
      <c r="AA6" s="101">
        <v>0</v>
      </c>
      <c r="AB6" s="101">
        <v>0</v>
      </c>
      <c r="AC6" s="101">
        <v>0</v>
      </c>
      <c r="AD6" s="101">
        <v>0</v>
      </c>
      <c r="AE6" s="101">
        <v>0</v>
      </c>
      <c r="AF6" s="101">
        <v>0</v>
      </c>
      <c r="AG6" s="101">
        <v>0</v>
      </c>
      <c r="AH6" s="101">
        <v>0</v>
      </c>
      <c r="AI6" s="101">
        <v>0</v>
      </c>
      <c r="AJ6" s="101">
        <v>943229</v>
      </c>
      <c r="AK6" s="101">
        <v>0</v>
      </c>
      <c r="AL6" s="101">
        <v>0</v>
      </c>
      <c r="AM6" s="101">
        <v>0</v>
      </c>
      <c r="AN6" s="101">
        <v>0</v>
      </c>
      <c r="AO6" s="101">
        <v>0</v>
      </c>
      <c r="AP6" s="101">
        <v>0</v>
      </c>
      <c r="AQ6" s="101">
        <v>0</v>
      </c>
      <c r="AR6" s="101">
        <v>0</v>
      </c>
      <c r="AS6" s="101">
        <v>0</v>
      </c>
      <c r="AT6" s="101">
        <v>0</v>
      </c>
      <c r="AU6" s="101">
        <v>0</v>
      </c>
    </row>
    <row r="7" spans="1:47" ht="20.100000000000001" customHeight="1">
      <c r="A7" s="39"/>
      <c r="B7" s="39"/>
      <c r="C7" s="46"/>
      <c r="D7" s="54"/>
      <c r="E7" s="47"/>
      <c r="F7" s="47"/>
      <c r="G7" s="47"/>
      <c r="H7" s="47"/>
      <c r="I7" s="47"/>
      <c r="J7" s="47"/>
      <c r="K7" s="47"/>
      <c r="L7" s="39"/>
    </row>
    <row r="8" spans="1:47" ht="20.100000000000001" customHeight="1">
      <c r="A8" s="38"/>
      <c r="B8" s="68"/>
      <c r="C8" s="40"/>
      <c r="D8" s="54"/>
      <c r="E8" s="47">
        <f>내역서!F64</f>
        <v>0</v>
      </c>
      <c r="F8" s="47">
        <f>D8*E8</f>
        <v>0</v>
      </c>
      <c r="G8" s="47">
        <f>내역서!H64</f>
        <v>0</v>
      </c>
      <c r="H8" s="47">
        <f>D8*G8</f>
        <v>0</v>
      </c>
      <c r="I8" s="47"/>
      <c r="J8" s="47">
        <f>D8*I8</f>
        <v>0</v>
      </c>
      <c r="K8" s="47">
        <f>F8+H8+J8</f>
        <v>0</v>
      </c>
      <c r="L8" s="38"/>
      <c r="N8" s="1" t="s">
        <v>3</v>
      </c>
      <c r="Q8">
        <f>D8*내역서!Q64</f>
        <v>0</v>
      </c>
      <c r="R8">
        <f>D8*내역서!R64</f>
        <v>0</v>
      </c>
      <c r="S8">
        <f>D8*내역서!S64</f>
        <v>0</v>
      </c>
      <c r="T8">
        <f>D8*내역서!T64</f>
        <v>0</v>
      </c>
      <c r="U8">
        <f>D8*내역서!U64</f>
        <v>0</v>
      </c>
      <c r="V8">
        <f>D8*내역서!V64</f>
        <v>0</v>
      </c>
      <c r="W8">
        <f>D8*내역서!W64</f>
        <v>0</v>
      </c>
      <c r="X8">
        <f>D8*내역서!X64</f>
        <v>0</v>
      </c>
      <c r="Y8">
        <f>D8*내역서!Y64</f>
        <v>0</v>
      </c>
      <c r="Z8">
        <f>D8*내역서!Z64</f>
        <v>0</v>
      </c>
      <c r="AA8">
        <f>D8*내역서!AA64</f>
        <v>0</v>
      </c>
      <c r="AB8">
        <f>D8*내역서!AB64</f>
        <v>0</v>
      </c>
      <c r="AC8">
        <f>D8*내역서!AC64</f>
        <v>0</v>
      </c>
      <c r="AD8">
        <f>D8*내역서!AD64</f>
        <v>0</v>
      </c>
      <c r="AE8">
        <f>D8*내역서!AE64</f>
        <v>0</v>
      </c>
      <c r="AF8">
        <f>D8*내역서!AF64</f>
        <v>0</v>
      </c>
      <c r="AG8">
        <f>D8*내역서!AG64</f>
        <v>0</v>
      </c>
      <c r="AH8">
        <f>D8*내역서!AH64</f>
        <v>0</v>
      </c>
      <c r="AI8">
        <f>D8*내역서!AI64</f>
        <v>0</v>
      </c>
      <c r="AJ8">
        <f>D8*내역서!AJ64</f>
        <v>0</v>
      </c>
      <c r="AK8">
        <f>D8*내역서!AK64</f>
        <v>0</v>
      </c>
      <c r="AL8">
        <f>D8*내역서!AL64</f>
        <v>0</v>
      </c>
      <c r="AM8">
        <f>D8*내역서!AM64</f>
        <v>0</v>
      </c>
      <c r="AN8">
        <f>D8*내역서!AN64</f>
        <v>0</v>
      </c>
      <c r="AO8">
        <f>D8*내역서!AO64</f>
        <v>0</v>
      </c>
      <c r="AP8">
        <f>D8*내역서!AP64</f>
        <v>0</v>
      </c>
      <c r="AQ8">
        <f>D8*내역서!AQ64</f>
        <v>0</v>
      </c>
      <c r="AR8">
        <f>D8*내역서!AR64</f>
        <v>0</v>
      </c>
      <c r="AS8">
        <f>D8*내역서!AS64</f>
        <v>0</v>
      </c>
      <c r="AT8">
        <f>D8*내역서!AT64</f>
        <v>0</v>
      </c>
      <c r="AU8">
        <f>D8*내역서!AU64</f>
        <v>0</v>
      </c>
    </row>
    <row r="9" spans="1:47" ht="20.100000000000001" customHeight="1">
      <c r="A9" s="39"/>
      <c r="B9" s="39"/>
      <c r="C9" s="46"/>
      <c r="D9" s="54"/>
      <c r="E9" s="47"/>
      <c r="F9" s="47"/>
      <c r="G9" s="47"/>
      <c r="H9" s="47"/>
      <c r="I9" s="47"/>
      <c r="J9" s="47"/>
      <c r="K9" s="47"/>
      <c r="L9" s="39"/>
    </row>
    <row r="10" spans="1:47" ht="20.100000000000001" customHeight="1">
      <c r="A10" s="39"/>
      <c r="B10" s="39"/>
      <c r="C10" s="46"/>
      <c r="D10" s="54"/>
      <c r="E10" s="47"/>
      <c r="F10" s="47"/>
      <c r="G10" s="47"/>
      <c r="H10" s="47"/>
      <c r="I10" s="47"/>
      <c r="J10" s="47"/>
      <c r="K10" s="47"/>
      <c r="L10" s="39"/>
    </row>
    <row r="11" spans="1:47" ht="20.100000000000001" customHeight="1">
      <c r="A11" s="39"/>
      <c r="B11" s="39"/>
      <c r="C11" s="46"/>
      <c r="D11" s="54"/>
      <c r="E11" s="47"/>
      <c r="F11" s="47"/>
      <c r="G11" s="47"/>
      <c r="H11" s="47"/>
      <c r="I11" s="47"/>
      <c r="J11" s="47"/>
      <c r="K11" s="47"/>
      <c r="L11" s="39"/>
    </row>
    <row r="12" spans="1:47" ht="20.100000000000001" customHeight="1">
      <c r="A12" s="39"/>
      <c r="B12" s="39"/>
      <c r="C12" s="46"/>
      <c r="D12" s="54"/>
      <c r="E12" s="47"/>
      <c r="F12" s="47"/>
      <c r="G12" s="47"/>
      <c r="H12" s="47"/>
      <c r="I12" s="47"/>
      <c r="J12" s="47"/>
      <c r="K12" s="47"/>
      <c r="L12" s="39"/>
    </row>
    <row r="13" spans="1:47" ht="20.100000000000001" customHeight="1">
      <c r="A13" s="39"/>
      <c r="B13" s="39"/>
      <c r="C13" s="46"/>
      <c r="D13" s="54"/>
      <c r="E13" s="47"/>
      <c r="F13" s="47"/>
      <c r="G13" s="47"/>
      <c r="H13" s="47"/>
      <c r="I13" s="47"/>
      <c r="J13" s="47"/>
      <c r="K13" s="47"/>
      <c r="L13" s="39"/>
    </row>
    <row r="14" spans="1:47" ht="20.100000000000001" customHeight="1">
      <c r="A14" s="39"/>
      <c r="B14" s="39"/>
      <c r="C14" s="46"/>
      <c r="D14" s="54"/>
      <c r="E14" s="47"/>
      <c r="F14" s="47"/>
      <c r="G14" s="47"/>
      <c r="H14" s="47"/>
      <c r="I14" s="47"/>
      <c r="J14" s="47"/>
      <c r="K14" s="47"/>
      <c r="L14" s="39"/>
    </row>
    <row r="15" spans="1:47" ht="20.100000000000001" customHeight="1">
      <c r="A15" s="39"/>
      <c r="B15" s="39"/>
      <c r="C15" s="46"/>
      <c r="D15" s="54"/>
      <c r="E15" s="47"/>
      <c r="F15" s="47"/>
      <c r="G15" s="47"/>
      <c r="H15" s="47"/>
      <c r="I15" s="47"/>
      <c r="J15" s="47"/>
      <c r="K15" s="47"/>
      <c r="L15" s="39"/>
    </row>
    <row r="16" spans="1:47" ht="20.100000000000001" customHeight="1">
      <c r="A16" s="39"/>
      <c r="B16" s="39"/>
      <c r="C16" s="46"/>
      <c r="D16" s="54"/>
      <c r="E16" s="47"/>
      <c r="F16" s="47"/>
      <c r="G16" s="47"/>
      <c r="H16" s="47"/>
      <c r="I16" s="47"/>
      <c r="J16" s="47"/>
      <c r="K16" s="47"/>
      <c r="L16" s="39"/>
    </row>
    <row r="17" spans="1:12" ht="20.100000000000001" customHeight="1">
      <c r="A17" s="39"/>
      <c r="B17" s="39"/>
      <c r="C17" s="46"/>
      <c r="D17" s="54"/>
      <c r="E17" s="47"/>
      <c r="F17" s="47"/>
      <c r="G17" s="47"/>
      <c r="H17" s="47"/>
      <c r="I17" s="47"/>
      <c r="J17" s="47"/>
      <c r="K17" s="47"/>
      <c r="L17" s="39"/>
    </row>
    <row r="18" spans="1:12" ht="20.100000000000001" customHeight="1">
      <c r="A18" s="39"/>
      <c r="B18" s="39"/>
      <c r="C18" s="46"/>
      <c r="D18" s="54"/>
      <c r="E18" s="47"/>
      <c r="F18" s="47"/>
      <c r="G18" s="47"/>
      <c r="H18" s="47"/>
      <c r="I18" s="47"/>
      <c r="J18" s="47"/>
      <c r="K18" s="47"/>
      <c r="L18" s="39"/>
    </row>
    <row r="19" spans="1:12" ht="20.100000000000001" customHeight="1">
      <c r="A19" s="39"/>
      <c r="B19" s="39"/>
      <c r="C19" s="46"/>
      <c r="D19" s="54"/>
      <c r="E19" s="47"/>
      <c r="F19" s="47"/>
      <c r="G19" s="47"/>
      <c r="H19" s="47"/>
      <c r="I19" s="47"/>
      <c r="J19" s="47"/>
      <c r="K19" s="47"/>
      <c r="L19" s="39"/>
    </row>
    <row r="20" spans="1:12" ht="20.100000000000001" customHeight="1">
      <c r="A20" s="39"/>
      <c r="B20" s="39"/>
      <c r="C20" s="46"/>
      <c r="D20" s="54"/>
      <c r="E20" s="47"/>
      <c r="F20" s="47"/>
      <c r="G20" s="47"/>
      <c r="H20" s="47"/>
      <c r="I20" s="47"/>
      <c r="J20" s="47"/>
      <c r="K20" s="47"/>
      <c r="L20" s="39"/>
    </row>
    <row r="21" spans="1:12" ht="20.100000000000001" customHeight="1">
      <c r="A21" s="39"/>
      <c r="B21" s="39"/>
      <c r="C21" s="46"/>
      <c r="D21" s="54"/>
      <c r="E21" s="47"/>
      <c r="F21" s="47"/>
      <c r="G21" s="47"/>
      <c r="H21" s="47"/>
      <c r="I21" s="47"/>
      <c r="J21" s="47"/>
      <c r="K21" s="47"/>
      <c r="L21" s="39"/>
    </row>
    <row r="22" spans="1:12" ht="20.100000000000001" customHeight="1">
      <c r="A22" s="39"/>
      <c r="B22" s="39"/>
      <c r="C22" s="46"/>
      <c r="D22" s="54"/>
      <c r="E22" s="47"/>
      <c r="F22" s="47"/>
      <c r="G22" s="47"/>
      <c r="H22" s="47"/>
      <c r="I22" s="47"/>
      <c r="J22" s="47"/>
      <c r="K22" s="47"/>
      <c r="L22" s="39"/>
    </row>
    <row r="23" spans="1:12" ht="20.100000000000001" customHeight="1">
      <c r="A23" s="39"/>
      <c r="B23" s="39"/>
      <c r="C23" s="46"/>
      <c r="D23" s="54"/>
      <c r="E23" s="47"/>
      <c r="F23" s="47"/>
      <c r="G23" s="47"/>
      <c r="H23" s="47"/>
      <c r="I23" s="47"/>
      <c r="J23" s="47"/>
      <c r="K23" s="47"/>
      <c r="L23" s="39"/>
    </row>
    <row r="24" spans="1:12" ht="20.100000000000001" customHeight="1">
      <c r="A24" s="39"/>
      <c r="B24" s="39"/>
      <c r="C24" s="46"/>
      <c r="D24" s="54"/>
      <c r="E24" s="47"/>
      <c r="F24" s="47"/>
      <c r="G24" s="47"/>
      <c r="H24" s="47"/>
      <c r="I24" s="47"/>
      <c r="J24" s="47"/>
      <c r="K24" s="47"/>
      <c r="L24" s="39"/>
    </row>
  </sheetData>
  <mergeCells count="11">
    <mergeCell ref="K3:K4"/>
    <mergeCell ref="A1:L1"/>
    <mergeCell ref="A2:L2"/>
    <mergeCell ref="A3:A4"/>
    <mergeCell ref="B3:B4"/>
    <mergeCell ref="C3:C4"/>
    <mergeCell ref="D3:D4"/>
    <mergeCell ref="L3:L4"/>
    <mergeCell ref="E3:F3"/>
    <mergeCell ref="G3:H3"/>
    <mergeCell ref="I3:J3"/>
  </mergeCells>
  <phoneticPr fontId="1" type="noConversion"/>
  <conditionalFormatting sqref="A5:L24">
    <cfRule type="containsText" dxfId="19" priority="1" stopIfTrue="1" operator="containsText" text=".">
      <formula>NOT(ISERROR(SEARCH(".",A5)))</formula>
    </cfRule>
    <cfRule type="notContainsText" dxfId="18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AX6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28" sqref="F28"/>
    </sheetView>
  </sheetViews>
  <sheetFormatPr defaultRowHeight="16.5"/>
  <cols>
    <col min="1" max="2" width="19.625" style="2" customWidth="1"/>
    <col min="3" max="3" width="4.625" style="3" customWidth="1"/>
    <col min="4" max="4" width="6.625" style="4" customWidth="1"/>
    <col min="5" max="5" width="8.625" style="4" customWidth="1"/>
    <col min="6" max="6" width="9.625" style="4" customWidth="1"/>
    <col min="7" max="7" width="8.625" style="4" customWidth="1"/>
    <col min="8" max="8" width="9.625" style="4" customWidth="1"/>
    <col min="9" max="9" width="8.625" style="4" customWidth="1"/>
    <col min="10" max="11" width="9.625" style="4" customWidth="1"/>
    <col min="12" max="12" width="7.625" style="4" customWidth="1"/>
    <col min="13" max="50" width="0" hidden="1" customWidth="1"/>
  </cols>
  <sheetData>
    <row r="1" spans="1:50" ht="30" customHeight="1">
      <c r="A1" s="118" t="s">
        <v>424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50" ht="20.100000000000001" customHeight="1">
      <c r="A2" s="119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50" ht="20.100000000000001" customHeight="1">
      <c r="A3" s="127" t="s">
        <v>425</v>
      </c>
      <c r="B3" s="127" t="s">
        <v>426</v>
      </c>
      <c r="C3" s="127" t="s">
        <v>9</v>
      </c>
      <c r="D3" s="127" t="s">
        <v>35</v>
      </c>
      <c r="E3" s="127" t="s">
        <v>393</v>
      </c>
      <c r="F3" s="127"/>
      <c r="G3" s="127" t="s">
        <v>394</v>
      </c>
      <c r="H3" s="127"/>
      <c r="I3" s="127" t="s">
        <v>395</v>
      </c>
      <c r="J3" s="127"/>
      <c r="K3" s="127" t="s">
        <v>396</v>
      </c>
      <c r="L3" s="127" t="s">
        <v>14</v>
      </c>
    </row>
    <row r="4" spans="1:50" ht="20.100000000000001" customHeight="1">
      <c r="A4" s="127"/>
      <c r="B4" s="127"/>
      <c r="C4" s="127"/>
      <c r="D4" s="127"/>
      <c r="E4" s="5" t="s">
        <v>41</v>
      </c>
      <c r="F4" s="5" t="s">
        <v>42</v>
      </c>
      <c r="G4" s="5" t="s">
        <v>41</v>
      </c>
      <c r="H4" s="5" t="s">
        <v>42</v>
      </c>
      <c r="I4" s="5" t="s">
        <v>41</v>
      </c>
      <c r="J4" s="5" t="s">
        <v>42</v>
      </c>
      <c r="K4" s="127"/>
      <c r="L4" s="127"/>
      <c r="M4" t="s">
        <v>43</v>
      </c>
      <c r="N4" t="s">
        <v>44</v>
      </c>
      <c r="O4" t="s">
        <v>45</v>
      </c>
      <c r="P4" t="s">
        <v>46</v>
      </c>
      <c r="Q4" t="s">
        <v>59</v>
      </c>
      <c r="R4" t="s">
        <v>427</v>
      </c>
      <c r="S4" t="s">
        <v>428</v>
      </c>
      <c r="T4" t="s">
        <v>429</v>
      </c>
      <c r="U4" t="s">
        <v>430</v>
      </c>
      <c r="V4" t="s">
        <v>431</v>
      </c>
      <c r="W4" t="s">
        <v>4</v>
      </c>
      <c r="X4" t="s">
        <v>432</v>
      </c>
      <c r="Y4" t="s">
        <v>433</v>
      </c>
      <c r="Z4" t="s">
        <v>434</v>
      </c>
      <c r="AA4" t="s">
        <v>435</v>
      </c>
      <c r="AB4" t="s">
        <v>436</v>
      </c>
      <c r="AC4" t="s">
        <v>437</v>
      </c>
      <c r="AD4" t="s">
        <v>438</v>
      </c>
      <c r="AE4" t="s">
        <v>439</v>
      </c>
      <c r="AF4" t="s">
        <v>440</v>
      </c>
      <c r="AG4" t="s">
        <v>441</v>
      </c>
      <c r="AH4" t="s">
        <v>442</v>
      </c>
      <c r="AI4" t="s">
        <v>443</v>
      </c>
      <c r="AK4" t="s">
        <v>444</v>
      </c>
      <c r="AL4" t="s">
        <v>445</v>
      </c>
      <c r="AM4" t="s">
        <v>446</v>
      </c>
      <c r="AN4" t="s">
        <v>447</v>
      </c>
      <c r="AO4" t="s">
        <v>448</v>
      </c>
      <c r="AP4" t="s">
        <v>449</v>
      </c>
      <c r="AQ4" t="s">
        <v>450</v>
      </c>
      <c r="AR4" t="s">
        <v>451</v>
      </c>
      <c r="AS4" t="s">
        <v>452</v>
      </c>
      <c r="AT4" t="s">
        <v>453</v>
      </c>
      <c r="AU4" t="s">
        <v>454</v>
      </c>
      <c r="AV4" t="s">
        <v>47</v>
      </c>
      <c r="AW4" t="s">
        <v>48</v>
      </c>
      <c r="AX4" t="s">
        <v>49</v>
      </c>
    </row>
    <row r="5" spans="1:50" ht="20.100000000000001" customHeight="1">
      <c r="A5" s="133" t="s">
        <v>19</v>
      </c>
      <c r="B5" s="134"/>
      <c r="C5" s="134"/>
      <c r="D5" s="135"/>
      <c r="E5" s="135"/>
      <c r="F5" s="135"/>
      <c r="G5" s="135"/>
      <c r="H5" s="135"/>
      <c r="I5" s="135"/>
      <c r="J5" s="135"/>
      <c r="K5" s="135"/>
      <c r="L5" s="136"/>
    </row>
    <row r="6" spans="1:50" ht="20.100000000000001" customHeight="1">
      <c r="A6" s="38" t="s">
        <v>22</v>
      </c>
      <c r="B6" s="103" t="s">
        <v>539</v>
      </c>
      <c r="C6" s="40" t="s">
        <v>23</v>
      </c>
      <c r="D6" s="47">
        <f>공량산출서!F8</f>
        <v>0</v>
      </c>
      <c r="E6" s="47"/>
      <c r="F6" s="47"/>
      <c r="G6" s="47">
        <v>0</v>
      </c>
      <c r="H6" s="47">
        <f>ROUNDDOWN(D6*G6, 0)</f>
        <v>0</v>
      </c>
      <c r="I6" s="47">
        <v>0</v>
      </c>
      <c r="J6" s="47">
        <f>ROUNDDOWN(D6*I6, 0)</f>
        <v>0</v>
      </c>
      <c r="K6" s="47">
        <f t="shared" ref="K6:K42" si="0">F6+H6+J6</f>
        <v>0</v>
      </c>
      <c r="L6" s="41"/>
      <c r="N6" t="str">
        <f>"04"</f>
        <v>04</v>
      </c>
      <c r="O6" s="1" t="s">
        <v>59</v>
      </c>
      <c r="P6">
        <v>1</v>
      </c>
      <c r="Q6">
        <f t="shared" ref="Q6:Q42" si="1">IF(O6="기계경비", J6, 0)</f>
        <v>0</v>
      </c>
      <c r="R6">
        <f t="shared" ref="R6:R42" si="2">IF(O6="운반비", J6, 0)</f>
        <v>0</v>
      </c>
      <c r="S6">
        <f t="shared" ref="S6:S42" si="3">IF(O6="작업부산물", F6, 0)</f>
        <v>0</v>
      </c>
      <c r="T6">
        <f t="shared" ref="T6:T42" si="4">IF(O6="관급", F6, 0)</f>
        <v>0</v>
      </c>
      <c r="U6">
        <f t="shared" ref="U6:U42" si="5">IF(O6="외주비", J6, 0)</f>
        <v>0</v>
      </c>
      <c r="V6">
        <f t="shared" ref="V6:V42" si="6">IF(O6="장비비", J6, 0)</f>
        <v>0</v>
      </c>
      <c r="W6">
        <f t="shared" ref="W6:W42" si="7">IF(O6="폐기물처리비", K6, 0)</f>
        <v>0</v>
      </c>
      <c r="X6">
        <f t="shared" ref="X6:X42" si="8">IF(O6="가설비", J6, 0)</f>
        <v>0</v>
      </c>
      <c r="Y6">
        <f t="shared" ref="Y6:Y42" si="9">IF(O6="잡비제외분", F6, 0)</f>
        <v>0</v>
      </c>
      <c r="Z6">
        <f t="shared" ref="Z6:Z42" si="10">IF(O6="사급자재대", K6, 0)</f>
        <v>0</v>
      </c>
      <c r="AA6">
        <f t="shared" ref="AA6:AA42" si="11">IF(O6="관급자재대", K6, 0)</f>
        <v>0</v>
      </c>
      <c r="AB6">
        <f t="shared" ref="AB6:AB42" si="12">IF(O6="작업부산물1", K6, 0)</f>
        <v>0</v>
      </c>
      <c r="AC6">
        <f t="shared" ref="AC6:AC42" si="13">IF(O6="소방시설공사업 배상책임공제", K6, 0)</f>
        <v>0</v>
      </c>
      <c r="AD6">
        <f t="shared" ref="AD6:AD42" si="14">IF(O6="부가가치세", K6, 0)</f>
        <v>0</v>
      </c>
      <c r="AE6">
        <f t="shared" ref="AE6:AE42" si="15">IF(O6="T. A. B 공 사", K6, 0)</f>
        <v>0</v>
      </c>
      <c r="AF6">
        <f t="shared" ref="AF6:AF42" si="16">IF(O6="자동제어공사", K6, 0)</f>
        <v>0</v>
      </c>
      <c r="AG6">
        <f t="shared" ref="AG6:AG42" si="17">IF(O6="품 질 관 리", K6, 0)</f>
        <v>0</v>
      </c>
      <c r="AH6">
        <f t="shared" ref="AH6:AH42" si="18">IF(O6="재 해 예 방 기 술 지 도", K6, 0)</f>
        <v>0</v>
      </c>
      <c r="AI6">
        <f t="shared" ref="AI6:AI42" si="19">IF(O6="상수도인입분당금", K6, 0)</f>
        <v>0</v>
      </c>
      <c r="AJ6">
        <f t="shared" ref="AJ6:AJ42" si="20">IF(O6="", K6, 0)</f>
        <v>0</v>
      </c>
      <c r="AK6">
        <f t="shared" ref="AK6:AK42" si="21">IF(O6="사용자항목10", K6, 0)</f>
        <v>0</v>
      </c>
      <c r="AL6">
        <f t="shared" ref="AL6:AL42" si="22">IF(O6="사용자항목11", K6, 0)</f>
        <v>0</v>
      </c>
      <c r="AM6">
        <f t="shared" ref="AM6:AM42" si="23">IF(O6="사용자항목12", K6, 0)</f>
        <v>0</v>
      </c>
      <c r="AN6">
        <f t="shared" ref="AN6:AN42" si="24">IF(O6="사용자항목13", K6, 0)</f>
        <v>0</v>
      </c>
      <c r="AO6">
        <f t="shared" ref="AO6:AO42" si="25">IF(O6="사용자항목14", K6, 0)</f>
        <v>0</v>
      </c>
      <c r="AP6">
        <f t="shared" ref="AP6:AP42" si="26">IF(O6="사용자항목15", K6, 0)</f>
        <v>0</v>
      </c>
      <c r="AQ6">
        <f t="shared" ref="AQ6:AQ42" si="27">IF(O6="사용자항목16", K6, 0)</f>
        <v>0</v>
      </c>
      <c r="AR6">
        <f t="shared" ref="AR6:AR42" si="28">IF(O6="사용자항목17", K6, 0)</f>
        <v>0</v>
      </c>
      <c r="AS6">
        <f t="shared" ref="AS6:AS42" si="29">IF(O6="사용자항목18", K6, 0)</f>
        <v>0</v>
      </c>
      <c r="AT6">
        <f t="shared" ref="AT6:AT42" si="30">IF(O6="사용자항목19", K6, 0)</f>
        <v>0</v>
      </c>
    </row>
    <row r="7" spans="1:50" ht="20.100000000000001" customHeight="1">
      <c r="A7" s="38" t="s">
        <v>22</v>
      </c>
      <c r="B7" s="103" t="s">
        <v>543</v>
      </c>
      <c r="C7" s="40" t="s">
        <v>23</v>
      </c>
      <c r="D7" s="47">
        <f>공량산출서!F10</f>
        <v>0</v>
      </c>
      <c r="E7" s="47"/>
      <c r="F7" s="47"/>
      <c r="G7" s="47">
        <v>0</v>
      </c>
      <c r="H7" s="47">
        <f>ROUNDDOWN(D7*G7, 0)</f>
        <v>0</v>
      </c>
      <c r="I7" s="47">
        <v>0</v>
      </c>
      <c r="J7" s="47">
        <f>ROUNDDOWN(D7*I7, 0)</f>
        <v>0</v>
      </c>
      <c r="K7" s="47">
        <f t="shared" si="0"/>
        <v>0</v>
      </c>
      <c r="L7" s="41"/>
      <c r="N7" t="str">
        <f>"04"</f>
        <v>04</v>
      </c>
      <c r="O7" s="1" t="s">
        <v>59</v>
      </c>
      <c r="P7">
        <v>1</v>
      </c>
      <c r="Q7">
        <f t="shared" si="1"/>
        <v>0</v>
      </c>
      <c r="R7">
        <f t="shared" si="2"/>
        <v>0</v>
      </c>
      <c r="S7">
        <f t="shared" si="3"/>
        <v>0</v>
      </c>
      <c r="T7">
        <f t="shared" si="4"/>
        <v>0</v>
      </c>
      <c r="U7">
        <f t="shared" si="5"/>
        <v>0</v>
      </c>
      <c r="V7">
        <f t="shared" si="6"/>
        <v>0</v>
      </c>
      <c r="W7">
        <f t="shared" si="7"/>
        <v>0</v>
      </c>
      <c r="X7">
        <f t="shared" si="8"/>
        <v>0</v>
      </c>
      <c r="Y7">
        <f t="shared" si="9"/>
        <v>0</v>
      </c>
      <c r="Z7">
        <f t="shared" si="10"/>
        <v>0</v>
      </c>
      <c r="AA7">
        <f t="shared" si="11"/>
        <v>0</v>
      </c>
      <c r="AB7">
        <f t="shared" si="12"/>
        <v>0</v>
      </c>
      <c r="AC7">
        <f t="shared" si="13"/>
        <v>0</v>
      </c>
      <c r="AD7">
        <f t="shared" si="14"/>
        <v>0</v>
      </c>
      <c r="AE7">
        <f t="shared" si="15"/>
        <v>0</v>
      </c>
      <c r="AF7">
        <f t="shared" si="16"/>
        <v>0</v>
      </c>
      <c r="AG7">
        <f t="shared" si="17"/>
        <v>0</v>
      </c>
      <c r="AH7">
        <f t="shared" si="18"/>
        <v>0</v>
      </c>
      <c r="AI7">
        <f t="shared" si="19"/>
        <v>0</v>
      </c>
      <c r="AJ7">
        <f t="shared" si="20"/>
        <v>0</v>
      </c>
      <c r="AK7">
        <f t="shared" si="21"/>
        <v>0</v>
      </c>
      <c r="AL7">
        <f t="shared" si="22"/>
        <v>0</v>
      </c>
      <c r="AM7">
        <f t="shared" si="23"/>
        <v>0</v>
      </c>
      <c r="AN7">
        <f t="shared" si="24"/>
        <v>0</v>
      </c>
      <c r="AO7">
        <f t="shared" si="25"/>
        <v>0</v>
      </c>
      <c r="AP7">
        <f t="shared" si="26"/>
        <v>0</v>
      </c>
      <c r="AQ7">
        <f t="shared" si="27"/>
        <v>0</v>
      </c>
      <c r="AR7">
        <f t="shared" si="28"/>
        <v>0</v>
      </c>
      <c r="AS7">
        <f t="shared" si="29"/>
        <v>0</v>
      </c>
      <c r="AT7">
        <f t="shared" si="30"/>
        <v>0</v>
      </c>
    </row>
    <row r="8" spans="1:50" ht="20.100000000000001" customHeight="1">
      <c r="A8" s="38" t="s">
        <v>24</v>
      </c>
      <c r="B8" s="103" t="s">
        <v>543</v>
      </c>
      <c r="C8" s="40" t="s">
        <v>23</v>
      </c>
      <c r="D8" s="47">
        <f>공량산출서!F12</f>
        <v>0</v>
      </c>
      <c r="E8" s="47"/>
      <c r="F8" s="47"/>
      <c r="G8" s="47"/>
      <c r="H8" s="47"/>
      <c r="I8" s="47"/>
      <c r="J8" s="47"/>
      <c r="K8" s="47">
        <f t="shared" si="0"/>
        <v>0</v>
      </c>
      <c r="L8" s="41"/>
      <c r="N8" t="str">
        <f>"04"</f>
        <v>04</v>
      </c>
      <c r="O8" s="1" t="s">
        <v>59</v>
      </c>
      <c r="P8">
        <v>1</v>
      </c>
      <c r="Q8">
        <f t="shared" si="1"/>
        <v>0</v>
      </c>
      <c r="R8">
        <f t="shared" si="2"/>
        <v>0</v>
      </c>
      <c r="S8">
        <f t="shared" si="3"/>
        <v>0</v>
      </c>
      <c r="T8">
        <f t="shared" si="4"/>
        <v>0</v>
      </c>
      <c r="U8">
        <f t="shared" si="5"/>
        <v>0</v>
      </c>
      <c r="V8">
        <f t="shared" si="6"/>
        <v>0</v>
      </c>
      <c r="W8">
        <f t="shared" si="7"/>
        <v>0</v>
      </c>
      <c r="X8">
        <f t="shared" si="8"/>
        <v>0</v>
      </c>
      <c r="Y8">
        <f t="shared" si="9"/>
        <v>0</v>
      </c>
      <c r="Z8">
        <f t="shared" si="10"/>
        <v>0</v>
      </c>
      <c r="AA8">
        <f t="shared" si="11"/>
        <v>0</v>
      </c>
      <c r="AB8">
        <f t="shared" si="12"/>
        <v>0</v>
      </c>
      <c r="AC8">
        <f t="shared" si="13"/>
        <v>0</v>
      </c>
      <c r="AD8">
        <f t="shared" si="14"/>
        <v>0</v>
      </c>
      <c r="AE8">
        <f t="shared" si="15"/>
        <v>0</v>
      </c>
      <c r="AF8">
        <f t="shared" si="16"/>
        <v>0</v>
      </c>
      <c r="AG8">
        <f t="shared" si="17"/>
        <v>0</v>
      </c>
      <c r="AH8">
        <f t="shared" si="18"/>
        <v>0</v>
      </c>
      <c r="AI8">
        <f t="shared" si="19"/>
        <v>0</v>
      </c>
      <c r="AJ8">
        <f t="shared" si="20"/>
        <v>0</v>
      </c>
      <c r="AK8">
        <f t="shared" si="21"/>
        <v>0</v>
      </c>
      <c r="AL8">
        <f t="shared" si="22"/>
        <v>0</v>
      </c>
      <c r="AM8">
        <f t="shared" si="23"/>
        <v>0</v>
      </c>
      <c r="AN8">
        <f t="shared" si="24"/>
        <v>0</v>
      </c>
      <c r="AO8">
        <f t="shared" si="25"/>
        <v>0</v>
      </c>
      <c r="AP8">
        <f t="shared" si="26"/>
        <v>0</v>
      </c>
      <c r="AQ8">
        <f t="shared" si="27"/>
        <v>0</v>
      </c>
      <c r="AR8">
        <f t="shared" si="28"/>
        <v>0</v>
      </c>
      <c r="AS8">
        <f t="shared" si="29"/>
        <v>0</v>
      </c>
      <c r="AT8">
        <f t="shared" si="30"/>
        <v>0</v>
      </c>
    </row>
    <row r="9" spans="1:50" ht="20.100000000000001" customHeight="1">
      <c r="A9" s="38" t="s">
        <v>397</v>
      </c>
      <c r="B9" s="39" t="str">
        <f>"배관의 " &amp; M9*100 &amp; "%"</f>
        <v>배관의 2%</v>
      </c>
      <c r="C9" s="40" t="s">
        <v>1</v>
      </c>
      <c r="D9" s="47">
        <v>1</v>
      </c>
      <c r="E9" s="47"/>
      <c r="F9" s="47"/>
      <c r="G9" s="47"/>
      <c r="H9" s="47"/>
      <c r="I9" s="47"/>
      <c r="J9" s="47"/>
      <c r="K9" s="47">
        <f t="shared" si="0"/>
        <v>0</v>
      </c>
      <c r="L9" s="41"/>
      <c r="M9">
        <v>0.02</v>
      </c>
      <c r="N9" t="str">
        <f>""</f>
        <v/>
      </c>
      <c r="O9" s="1" t="s">
        <v>59</v>
      </c>
      <c r="P9">
        <v>1</v>
      </c>
      <c r="Q9">
        <f t="shared" si="1"/>
        <v>0</v>
      </c>
      <c r="R9">
        <f t="shared" si="2"/>
        <v>0</v>
      </c>
      <c r="S9">
        <f t="shared" si="3"/>
        <v>0</v>
      </c>
      <c r="T9">
        <f t="shared" si="4"/>
        <v>0</v>
      </c>
      <c r="U9">
        <f t="shared" si="5"/>
        <v>0</v>
      </c>
      <c r="V9">
        <f t="shared" si="6"/>
        <v>0</v>
      </c>
      <c r="W9">
        <f t="shared" si="7"/>
        <v>0</v>
      </c>
      <c r="X9">
        <f t="shared" si="8"/>
        <v>0</v>
      </c>
      <c r="Y9">
        <f t="shared" si="9"/>
        <v>0</v>
      </c>
      <c r="Z9">
        <f t="shared" si="10"/>
        <v>0</v>
      </c>
      <c r="AA9">
        <f t="shared" si="11"/>
        <v>0</v>
      </c>
      <c r="AB9">
        <f t="shared" si="12"/>
        <v>0</v>
      </c>
      <c r="AC9">
        <f t="shared" si="13"/>
        <v>0</v>
      </c>
      <c r="AD9">
        <f t="shared" si="14"/>
        <v>0</v>
      </c>
      <c r="AE9">
        <f t="shared" si="15"/>
        <v>0</v>
      </c>
      <c r="AF9">
        <f t="shared" si="16"/>
        <v>0</v>
      </c>
      <c r="AG9">
        <f t="shared" si="17"/>
        <v>0</v>
      </c>
      <c r="AH9">
        <f t="shared" si="18"/>
        <v>0</v>
      </c>
      <c r="AI9">
        <f t="shared" si="19"/>
        <v>0</v>
      </c>
      <c r="AJ9">
        <f t="shared" si="20"/>
        <v>0</v>
      </c>
      <c r="AK9">
        <f t="shared" si="21"/>
        <v>0</v>
      </c>
      <c r="AL9">
        <f t="shared" si="22"/>
        <v>0</v>
      </c>
      <c r="AM9">
        <f t="shared" si="23"/>
        <v>0</v>
      </c>
      <c r="AN9">
        <f t="shared" si="24"/>
        <v>0</v>
      </c>
      <c r="AO9">
        <f t="shared" si="25"/>
        <v>0</v>
      </c>
      <c r="AP9">
        <f t="shared" si="26"/>
        <v>0</v>
      </c>
      <c r="AQ9">
        <f t="shared" si="27"/>
        <v>0</v>
      </c>
      <c r="AR9">
        <f t="shared" si="28"/>
        <v>0</v>
      </c>
      <c r="AS9">
        <f t="shared" si="29"/>
        <v>0</v>
      </c>
      <c r="AT9">
        <f t="shared" si="30"/>
        <v>0</v>
      </c>
      <c r="AV9" s="1" t="s">
        <v>69</v>
      </c>
      <c r="AW9" s="1" t="s">
        <v>455</v>
      </c>
    </row>
    <row r="10" spans="1:50" ht="20.100000000000001" customHeight="1">
      <c r="A10" s="38" t="s">
        <v>412</v>
      </c>
      <c r="B10" s="103" t="s">
        <v>546</v>
      </c>
      <c r="C10" s="40" t="s">
        <v>23</v>
      </c>
      <c r="D10" s="47">
        <v>180</v>
      </c>
      <c r="E10" s="47"/>
      <c r="F10" s="47"/>
      <c r="G10" s="47"/>
      <c r="H10" s="47"/>
      <c r="I10" s="47"/>
      <c r="J10" s="47"/>
      <c r="K10" s="47">
        <f t="shared" si="0"/>
        <v>0</v>
      </c>
      <c r="L10" s="51" t="s">
        <v>411</v>
      </c>
      <c r="N10" t="str">
        <f>""</f>
        <v/>
      </c>
      <c r="O10" s="1" t="s">
        <v>59</v>
      </c>
      <c r="P10">
        <v>1</v>
      </c>
      <c r="Q10">
        <f t="shared" si="1"/>
        <v>0</v>
      </c>
      <c r="R10">
        <f t="shared" si="2"/>
        <v>0</v>
      </c>
      <c r="S10">
        <f t="shared" si="3"/>
        <v>0</v>
      </c>
      <c r="T10">
        <f t="shared" si="4"/>
        <v>0</v>
      </c>
      <c r="U10">
        <f t="shared" si="5"/>
        <v>0</v>
      </c>
      <c r="V10">
        <f t="shared" si="6"/>
        <v>0</v>
      </c>
      <c r="W10">
        <f t="shared" si="7"/>
        <v>0</v>
      </c>
      <c r="X10">
        <f t="shared" si="8"/>
        <v>0</v>
      </c>
      <c r="Y10">
        <f t="shared" si="9"/>
        <v>0</v>
      </c>
      <c r="Z10">
        <f t="shared" si="10"/>
        <v>0</v>
      </c>
      <c r="AA10">
        <f t="shared" si="11"/>
        <v>0</v>
      </c>
      <c r="AB10">
        <f t="shared" si="12"/>
        <v>0</v>
      </c>
      <c r="AC10">
        <f t="shared" si="13"/>
        <v>0</v>
      </c>
      <c r="AD10">
        <f t="shared" si="14"/>
        <v>0</v>
      </c>
      <c r="AE10">
        <f t="shared" si="15"/>
        <v>0</v>
      </c>
      <c r="AF10">
        <f t="shared" si="16"/>
        <v>0</v>
      </c>
      <c r="AG10">
        <f t="shared" si="17"/>
        <v>0</v>
      </c>
      <c r="AH10">
        <f t="shared" si="18"/>
        <v>0</v>
      </c>
      <c r="AI10">
        <f t="shared" si="19"/>
        <v>0</v>
      </c>
      <c r="AJ10">
        <f t="shared" si="20"/>
        <v>0</v>
      </c>
      <c r="AK10">
        <f t="shared" si="21"/>
        <v>0</v>
      </c>
      <c r="AL10">
        <f t="shared" si="22"/>
        <v>0</v>
      </c>
      <c r="AM10">
        <f t="shared" si="23"/>
        <v>0</v>
      </c>
      <c r="AN10">
        <f t="shared" si="24"/>
        <v>0</v>
      </c>
      <c r="AO10">
        <f t="shared" si="25"/>
        <v>0</v>
      </c>
      <c r="AP10">
        <f t="shared" si="26"/>
        <v>0</v>
      </c>
      <c r="AQ10">
        <f t="shared" si="27"/>
        <v>0</v>
      </c>
      <c r="AR10">
        <f t="shared" si="28"/>
        <v>0</v>
      </c>
      <c r="AS10">
        <f t="shared" si="29"/>
        <v>0</v>
      </c>
      <c r="AT10">
        <f t="shared" si="30"/>
        <v>0</v>
      </c>
    </row>
    <row r="11" spans="1:50" ht="20.100000000000001" customHeight="1">
      <c r="A11" s="38" t="s">
        <v>412</v>
      </c>
      <c r="B11" s="103" t="s">
        <v>556</v>
      </c>
      <c r="C11" s="40" t="s">
        <v>23</v>
      </c>
      <c r="D11" s="47">
        <v>439</v>
      </c>
      <c r="E11" s="47"/>
      <c r="F11" s="47"/>
      <c r="G11" s="47"/>
      <c r="H11" s="47"/>
      <c r="I11" s="47"/>
      <c r="J11" s="47"/>
      <c r="K11" s="47">
        <f t="shared" si="0"/>
        <v>0</v>
      </c>
      <c r="L11" s="51" t="s">
        <v>413</v>
      </c>
      <c r="N11" t="str">
        <f>""</f>
        <v/>
      </c>
      <c r="O11" s="1" t="s">
        <v>59</v>
      </c>
      <c r="P11">
        <v>1</v>
      </c>
      <c r="Q11">
        <f t="shared" si="1"/>
        <v>0</v>
      </c>
      <c r="R11">
        <f t="shared" si="2"/>
        <v>0</v>
      </c>
      <c r="S11">
        <f t="shared" si="3"/>
        <v>0</v>
      </c>
      <c r="T11">
        <f t="shared" si="4"/>
        <v>0</v>
      </c>
      <c r="U11">
        <f t="shared" si="5"/>
        <v>0</v>
      </c>
      <c r="V11">
        <f t="shared" si="6"/>
        <v>0</v>
      </c>
      <c r="W11">
        <f t="shared" si="7"/>
        <v>0</v>
      </c>
      <c r="X11">
        <f t="shared" si="8"/>
        <v>0</v>
      </c>
      <c r="Y11">
        <f t="shared" si="9"/>
        <v>0</v>
      </c>
      <c r="Z11">
        <f t="shared" si="10"/>
        <v>0</v>
      </c>
      <c r="AA11">
        <f t="shared" si="11"/>
        <v>0</v>
      </c>
      <c r="AB11">
        <f t="shared" si="12"/>
        <v>0</v>
      </c>
      <c r="AC11">
        <f t="shared" si="13"/>
        <v>0</v>
      </c>
      <c r="AD11">
        <f t="shared" si="14"/>
        <v>0</v>
      </c>
      <c r="AE11">
        <f t="shared" si="15"/>
        <v>0</v>
      </c>
      <c r="AF11">
        <f t="shared" si="16"/>
        <v>0</v>
      </c>
      <c r="AG11">
        <f t="shared" si="17"/>
        <v>0</v>
      </c>
      <c r="AH11">
        <f t="shared" si="18"/>
        <v>0</v>
      </c>
      <c r="AI11">
        <f t="shared" si="19"/>
        <v>0</v>
      </c>
      <c r="AJ11">
        <f t="shared" si="20"/>
        <v>0</v>
      </c>
      <c r="AK11">
        <f t="shared" si="21"/>
        <v>0</v>
      </c>
      <c r="AL11">
        <f t="shared" si="22"/>
        <v>0</v>
      </c>
      <c r="AM11">
        <f t="shared" si="23"/>
        <v>0</v>
      </c>
      <c r="AN11">
        <f t="shared" si="24"/>
        <v>0</v>
      </c>
      <c r="AO11">
        <f t="shared" si="25"/>
        <v>0</v>
      </c>
      <c r="AP11">
        <f t="shared" si="26"/>
        <v>0</v>
      </c>
      <c r="AQ11">
        <f t="shared" si="27"/>
        <v>0</v>
      </c>
      <c r="AR11">
        <f t="shared" si="28"/>
        <v>0</v>
      </c>
      <c r="AS11">
        <f t="shared" si="29"/>
        <v>0</v>
      </c>
      <c r="AT11">
        <f t="shared" si="30"/>
        <v>0</v>
      </c>
    </row>
    <row r="12" spans="1:50" ht="20.100000000000001" customHeight="1">
      <c r="A12" s="38" t="s">
        <v>352</v>
      </c>
      <c r="B12" s="103" t="s">
        <v>561</v>
      </c>
      <c r="C12" s="40" t="s">
        <v>27</v>
      </c>
      <c r="D12" s="47">
        <v>8</v>
      </c>
      <c r="E12" s="47"/>
      <c r="F12" s="47"/>
      <c r="G12" s="47"/>
      <c r="H12" s="47"/>
      <c r="I12" s="47"/>
      <c r="J12" s="47"/>
      <c r="K12" s="47">
        <f t="shared" si="0"/>
        <v>0</v>
      </c>
      <c r="L12" s="41"/>
      <c r="N12" t="str">
        <f>"01"</f>
        <v>01</v>
      </c>
      <c r="O12" s="1" t="s">
        <v>59</v>
      </c>
      <c r="P12">
        <v>1</v>
      </c>
      <c r="Q12">
        <f t="shared" si="1"/>
        <v>0</v>
      </c>
      <c r="R12">
        <f t="shared" si="2"/>
        <v>0</v>
      </c>
      <c r="S12">
        <f t="shared" si="3"/>
        <v>0</v>
      </c>
      <c r="T12">
        <f t="shared" si="4"/>
        <v>0</v>
      </c>
      <c r="U12">
        <f t="shared" si="5"/>
        <v>0</v>
      </c>
      <c r="V12">
        <f t="shared" si="6"/>
        <v>0</v>
      </c>
      <c r="W12">
        <f t="shared" si="7"/>
        <v>0</v>
      </c>
      <c r="X12">
        <f t="shared" si="8"/>
        <v>0</v>
      </c>
      <c r="Y12">
        <f t="shared" si="9"/>
        <v>0</v>
      </c>
      <c r="Z12">
        <f t="shared" si="10"/>
        <v>0</v>
      </c>
      <c r="AA12">
        <f t="shared" si="11"/>
        <v>0</v>
      </c>
      <c r="AB12">
        <f t="shared" si="12"/>
        <v>0</v>
      </c>
      <c r="AC12">
        <f t="shared" si="13"/>
        <v>0</v>
      </c>
      <c r="AD12">
        <f t="shared" si="14"/>
        <v>0</v>
      </c>
      <c r="AE12">
        <f t="shared" si="15"/>
        <v>0</v>
      </c>
      <c r="AF12">
        <f t="shared" si="16"/>
        <v>0</v>
      </c>
      <c r="AG12">
        <f t="shared" si="17"/>
        <v>0</v>
      </c>
      <c r="AH12">
        <f t="shared" si="18"/>
        <v>0</v>
      </c>
      <c r="AI12">
        <f t="shared" si="19"/>
        <v>0</v>
      </c>
      <c r="AJ12">
        <f t="shared" si="20"/>
        <v>0</v>
      </c>
      <c r="AK12">
        <f t="shared" si="21"/>
        <v>0</v>
      </c>
      <c r="AL12">
        <f t="shared" si="22"/>
        <v>0</v>
      </c>
      <c r="AM12">
        <f t="shared" si="23"/>
        <v>0</v>
      </c>
      <c r="AN12">
        <f t="shared" si="24"/>
        <v>0</v>
      </c>
      <c r="AO12">
        <f t="shared" si="25"/>
        <v>0</v>
      </c>
      <c r="AP12">
        <f t="shared" si="26"/>
        <v>0</v>
      </c>
      <c r="AQ12">
        <f t="shared" si="27"/>
        <v>0</v>
      </c>
      <c r="AR12">
        <f t="shared" si="28"/>
        <v>0</v>
      </c>
      <c r="AS12">
        <f t="shared" si="29"/>
        <v>0</v>
      </c>
      <c r="AT12">
        <f t="shared" si="30"/>
        <v>0</v>
      </c>
    </row>
    <row r="13" spans="1:50" ht="20.100000000000001" customHeight="1">
      <c r="A13" s="38" t="s">
        <v>352</v>
      </c>
      <c r="B13" s="103" t="s">
        <v>583</v>
      </c>
      <c r="C13" s="40" t="s">
        <v>27</v>
      </c>
      <c r="D13" s="47">
        <v>11</v>
      </c>
      <c r="E13" s="47"/>
      <c r="F13" s="47"/>
      <c r="G13" s="47"/>
      <c r="H13" s="47"/>
      <c r="I13" s="47"/>
      <c r="J13" s="47"/>
      <c r="K13" s="47">
        <f t="shared" si="0"/>
        <v>0</v>
      </c>
      <c r="L13" s="41"/>
      <c r="N13" t="str">
        <f>"01"</f>
        <v>01</v>
      </c>
      <c r="O13" s="1" t="s">
        <v>59</v>
      </c>
      <c r="P13">
        <v>1</v>
      </c>
      <c r="Q13">
        <f t="shared" si="1"/>
        <v>0</v>
      </c>
      <c r="R13">
        <f t="shared" si="2"/>
        <v>0</v>
      </c>
      <c r="S13">
        <f t="shared" si="3"/>
        <v>0</v>
      </c>
      <c r="T13">
        <f t="shared" si="4"/>
        <v>0</v>
      </c>
      <c r="U13">
        <f t="shared" si="5"/>
        <v>0</v>
      </c>
      <c r="V13">
        <f t="shared" si="6"/>
        <v>0</v>
      </c>
      <c r="W13">
        <f t="shared" si="7"/>
        <v>0</v>
      </c>
      <c r="X13">
        <f t="shared" si="8"/>
        <v>0</v>
      </c>
      <c r="Y13">
        <f t="shared" si="9"/>
        <v>0</v>
      </c>
      <c r="Z13">
        <f t="shared" si="10"/>
        <v>0</v>
      </c>
      <c r="AA13">
        <f t="shared" si="11"/>
        <v>0</v>
      </c>
      <c r="AB13">
        <f t="shared" si="12"/>
        <v>0</v>
      </c>
      <c r="AC13">
        <f t="shared" si="13"/>
        <v>0</v>
      </c>
      <c r="AD13">
        <f t="shared" si="14"/>
        <v>0</v>
      </c>
      <c r="AE13">
        <f t="shared" si="15"/>
        <v>0</v>
      </c>
      <c r="AF13">
        <f t="shared" si="16"/>
        <v>0</v>
      </c>
      <c r="AG13">
        <f t="shared" si="17"/>
        <v>0</v>
      </c>
      <c r="AH13">
        <f t="shared" si="18"/>
        <v>0</v>
      </c>
      <c r="AI13">
        <f t="shared" si="19"/>
        <v>0</v>
      </c>
      <c r="AJ13">
        <f t="shared" si="20"/>
        <v>0</v>
      </c>
      <c r="AK13">
        <f t="shared" si="21"/>
        <v>0</v>
      </c>
      <c r="AL13">
        <f t="shared" si="22"/>
        <v>0</v>
      </c>
      <c r="AM13">
        <f t="shared" si="23"/>
        <v>0</v>
      </c>
      <c r="AN13">
        <f t="shared" si="24"/>
        <v>0</v>
      </c>
      <c r="AO13">
        <f t="shared" si="25"/>
        <v>0</v>
      </c>
      <c r="AP13">
        <f t="shared" si="26"/>
        <v>0</v>
      </c>
      <c r="AQ13">
        <f t="shared" si="27"/>
        <v>0</v>
      </c>
      <c r="AR13">
        <f t="shared" si="28"/>
        <v>0</v>
      </c>
      <c r="AS13">
        <f t="shared" si="29"/>
        <v>0</v>
      </c>
      <c r="AT13">
        <f t="shared" si="30"/>
        <v>0</v>
      </c>
    </row>
    <row r="14" spans="1:50" ht="20.100000000000001" customHeight="1">
      <c r="A14" s="38" t="s">
        <v>352</v>
      </c>
      <c r="B14" s="103" t="s">
        <v>550</v>
      </c>
      <c r="C14" s="40" t="s">
        <v>27</v>
      </c>
      <c r="D14" s="47">
        <v>14</v>
      </c>
      <c r="E14" s="47"/>
      <c r="F14" s="47"/>
      <c r="G14" s="47"/>
      <c r="H14" s="47"/>
      <c r="I14" s="47"/>
      <c r="J14" s="47"/>
      <c r="K14" s="47">
        <f t="shared" si="0"/>
        <v>0</v>
      </c>
      <c r="L14" s="41"/>
      <c r="N14" t="str">
        <f>"01"</f>
        <v>01</v>
      </c>
      <c r="O14" s="1" t="s">
        <v>59</v>
      </c>
      <c r="P14">
        <v>1</v>
      </c>
      <c r="Q14">
        <f t="shared" si="1"/>
        <v>0</v>
      </c>
      <c r="R14">
        <f t="shared" si="2"/>
        <v>0</v>
      </c>
      <c r="S14">
        <f t="shared" si="3"/>
        <v>0</v>
      </c>
      <c r="T14">
        <f t="shared" si="4"/>
        <v>0</v>
      </c>
      <c r="U14">
        <f t="shared" si="5"/>
        <v>0</v>
      </c>
      <c r="V14">
        <f t="shared" si="6"/>
        <v>0</v>
      </c>
      <c r="W14">
        <f t="shared" si="7"/>
        <v>0</v>
      </c>
      <c r="X14">
        <f t="shared" si="8"/>
        <v>0</v>
      </c>
      <c r="Y14">
        <f t="shared" si="9"/>
        <v>0</v>
      </c>
      <c r="Z14">
        <f t="shared" si="10"/>
        <v>0</v>
      </c>
      <c r="AA14">
        <f t="shared" si="11"/>
        <v>0</v>
      </c>
      <c r="AB14">
        <f t="shared" si="12"/>
        <v>0</v>
      </c>
      <c r="AC14">
        <f t="shared" si="13"/>
        <v>0</v>
      </c>
      <c r="AD14">
        <f t="shared" si="14"/>
        <v>0</v>
      </c>
      <c r="AE14">
        <f t="shared" si="15"/>
        <v>0</v>
      </c>
      <c r="AF14">
        <f t="shared" si="16"/>
        <v>0</v>
      </c>
      <c r="AG14">
        <f t="shared" si="17"/>
        <v>0</v>
      </c>
      <c r="AH14">
        <f t="shared" si="18"/>
        <v>0</v>
      </c>
      <c r="AI14">
        <f t="shared" si="19"/>
        <v>0</v>
      </c>
      <c r="AJ14">
        <f t="shared" si="20"/>
        <v>0</v>
      </c>
      <c r="AK14">
        <f t="shared" si="21"/>
        <v>0</v>
      </c>
      <c r="AL14">
        <f t="shared" si="22"/>
        <v>0</v>
      </c>
      <c r="AM14">
        <f t="shared" si="23"/>
        <v>0</v>
      </c>
      <c r="AN14">
        <f t="shared" si="24"/>
        <v>0</v>
      </c>
      <c r="AO14">
        <f t="shared" si="25"/>
        <v>0</v>
      </c>
      <c r="AP14">
        <f t="shared" si="26"/>
        <v>0</v>
      </c>
      <c r="AQ14">
        <f t="shared" si="27"/>
        <v>0</v>
      </c>
      <c r="AR14">
        <f t="shared" si="28"/>
        <v>0</v>
      </c>
      <c r="AS14">
        <f t="shared" si="29"/>
        <v>0</v>
      </c>
      <c r="AT14">
        <f t="shared" si="30"/>
        <v>0</v>
      </c>
    </row>
    <row r="15" spans="1:50" ht="20.100000000000001" customHeight="1">
      <c r="A15" s="38" t="s">
        <v>352</v>
      </c>
      <c r="B15" s="103" t="s">
        <v>563</v>
      </c>
      <c r="C15" s="40" t="s">
        <v>27</v>
      </c>
      <c r="D15" s="47">
        <v>1</v>
      </c>
      <c r="E15" s="47"/>
      <c r="F15" s="47"/>
      <c r="G15" s="47"/>
      <c r="H15" s="47"/>
      <c r="I15" s="47"/>
      <c r="J15" s="47"/>
      <c r="K15" s="47">
        <f t="shared" si="0"/>
        <v>0</v>
      </c>
      <c r="L15" s="41"/>
      <c r="N15" t="str">
        <f>"01"</f>
        <v>01</v>
      </c>
      <c r="O15" s="1" t="s">
        <v>59</v>
      </c>
      <c r="P15">
        <v>1</v>
      </c>
      <c r="Q15">
        <f t="shared" si="1"/>
        <v>0</v>
      </c>
      <c r="R15">
        <f t="shared" si="2"/>
        <v>0</v>
      </c>
      <c r="S15">
        <f t="shared" si="3"/>
        <v>0</v>
      </c>
      <c r="T15">
        <f t="shared" si="4"/>
        <v>0</v>
      </c>
      <c r="U15">
        <f t="shared" si="5"/>
        <v>0</v>
      </c>
      <c r="V15">
        <f t="shared" si="6"/>
        <v>0</v>
      </c>
      <c r="W15">
        <f t="shared" si="7"/>
        <v>0</v>
      </c>
      <c r="X15">
        <f t="shared" si="8"/>
        <v>0</v>
      </c>
      <c r="Y15">
        <f t="shared" si="9"/>
        <v>0</v>
      </c>
      <c r="Z15">
        <f t="shared" si="10"/>
        <v>0</v>
      </c>
      <c r="AA15">
        <f t="shared" si="11"/>
        <v>0</v>
      </c>
      <c r="AB15">
        <f t="shared" si="12"/>
        <v>0</v>
      </c>
      <c r="AC15">
        <f t="shared" si="13"/>
        <v>0</v>
      </c>
      <c r="AD15">
        <f t="shared" si="14"/>
        <v>0</v>
      </c>
      <c r="AE15">
        <f t="shared" si="15"/>
        <v>0</v>
      </c>
      <c r="AF15">
        <f t="shared" si="16"/>
        <v>0</v>
      </c>
      <c r="AG15">
        <f t="shared" si="17"/>
        <v>0</v>
      </c>
      <c r="AH15">
        <f t="shared" si="18"/>
        <v>0</v>
      </c>
      <c r="AI15">
        <f t="shared" si="19"/>
        <v>0</v>
      </c>
      <c r="AJ15">
        <f t="shared" si="20"/>
        <v>0</v>
      </c>
      <c r="AK15">
        <f t="shared" si="21"/>
        <v>0</v>
      </c>
      <c r="AL15">
        <f t="shared" si="22"/>
        <v>0</v>
      </c>
      <c r="AM15">
        <f t="shared" si="23"/>
        <v>0</v>
      </c>
      <c r="AN15">
        <f t="shared" si="24"/>
        <v>0</v>
      </c>
      <c r="AO15">
        <f t="shared" si="25"/>
        <v>0</v>
      </c>
      <c r="AP15">
        <f t="shared" si="26"/>
        <v>0</v>
      </c>
      <c r="AQ15">
        <f t="shared" si="27"/>
        <v>0</v>
      </c>
      <c r="AR15">
        <f t="shared" si="28"/>
        <v>0</v>
      </c>
      <c r="AS15">
        <f t="shared" si="29"/>
        <v>0</v>
      </c>
      <c r="AT15">
        <f t="shared" si="30"/>
        <v>0</v>
      </c>
    </row>
    <row r="16" spans="1:50" ht="20.100000000000001" customHeight="1">
      <c r="A16" s="38" t="s">
        <v>418</v>
      </c>
      <c r="B16" s="103" t="s">
        <v>565</v>
      </c>
      <c r="C16" s="40" t="s">
        <v>416</v>
      </c>
      <c r="D16" s="47">
        <v>46</v>
      </c>
      <c r="E16" s="47"/>
      <c r="F16" s="47"/>
      <c r="G16" s="47"/>
      <c r="H16" s="47"/>
      <c r="I16" s="47"/>
      <c r="J16" s="47"/>
      <c r="K16" s="47">
        <f t="shared" si="0"/>
        <v>0</v>
      </c>
      <c r="L16" s="51" t="s">
        <v>417</v>
      </c>
      <c r="N16" t="str">
        <f>""</f>
        <v/>
      </c>
      <c r="O16" s="1" t="s">
        <v>59</v>
      </c>
      <c r="P16">
        <v>1</v>
      </c>
      <c r="Q16">
        <f t="shared" si="1"/>
        <v>0</v>
      </c>
      <c r="R16">
        <f t="shared" si="2"/>
        <v>0</v>
      </c>
      <c r="S16">
        <f t="shared" si="3"/>
        <v>0</v>
      </c>
      <c r="T16">
        <f t="shared" si="4"/>
        <v>0</v>
      </c>
      <c r="U16">
        <f t="shared" si="5"/>
        <v>0</v>
      </c>
      <c r="V16">
        <f t="shared" si="6"/>
        <v>0</v>
      </c>
      <c r="W16">
        <f t="shared" si="7"/>
        <v>0</v>
      </c>
      <c r="X16">
        <f t="shared" si="8"/>
        <v>0</v>
      </c>
      <c r="Y16">
        <f t="shared" si="9"/>
        <v>0</v>
      </c>
      <c r="Z16">
        <f t="shared" si="10"/>
        <v>0</v>
      </c>
      <c r="AA16">
        <f t="shared" si="11"/>
        <v>0</v>
      </c>
      <c r="AB16">
        <f t="shared" si="12"/>
        <v>0</v>
      </c>
      <c r="AC16">
        <f t="shared" si="13"/>
        <v>0</v>
      </c>
      <c r="AD16">
        <f t="shared" si="14"/>
        <v>0</v>
      </c>
      <c r="AE16">
        <f t="shared" si="15"/>
        <v>0</v>
      </c>
      <c r="AF16">
        <f t="shared" si="16"/>
        <v>0</v>
      </c>
      <c r="AG16">
        <f t="shared" si="17"/>
        <v>0</v>
      </c>
      <c r="AH16">
        <f t="shared" si="18"/>
        <v>0</v>
      </c>
      <c r="AI16">
        <f t="shared" si="19"/>
        <v>0</v>
      </c>
      <c r="AJ16">
        <f t="shared" si="20"/>
        <v>0</v>
      </c>
      <c r="AK16">
        <f t="shared" si="21"/>
        <v>0</v>
      </c>
      <c r="AL16">
        <f t="shared" si="22"/>
        <v>0</v>
      </c>
      <c r="AM16">
        <f t="shared" si="23"/>
        <v>0</v>
      </c>
      <c r="AN16">
        <f t="shared" si="24"/>
        <v>0</v>
      </c>
      <c r="AO16">
        <f t="shared" si="25"/>
        <v>0</v>
      </c>
      <c r="AP16">
        <f t="shared" si="26"/>
        <v>0</v>
      </c>
      <c r="AQ16">
        <f t="shared" si="27"/>
        <v>0</v>
      </c>
      <c r="AR16">
        <f t="shared" si="28"/>
        <v>0</v>
      </c>
      <c r="AS16">
        <f t="shared" si="29"/>
        <v>0</v>
      </c>
      <c r="AT16">
        <f t="shared" si="30"/>
        <v>0</v>
      </c>
    </row>
    <row r="17" spans="1:46" ht="20.100000000000001" customHeight="1">
      <c r="A17" s="38" t="s">
        <v>418</v>
      </c>
      <c r="B17" s="103" t="s">
        <v>557</v>
      </c>
      <c r="C17" s="40" t="s">
        <v>416</v>
      </c>
      <c r="D17" s="47">
        <v>135</v>
      </c>
      <c r="E17" s="47"/>
      <c r="F17" s="47"/>
      <c r="G17" s="47"/>
      <c r="H17" s="47"/>
      <c r="I17" s="47"/>
      <c r="J17" s="47"/>
      <c r="K17" s="47">
        <f t="shared" si="0"/>
        <v>0</v>
      </c>
      <c r="L17" s="51" t="s">
        <v>419</v>
      </c>
      <c r="N17" t="str">
        <f>""</f>
        <v/>
      </c>
      <c r="O17" s="1" t="s">
        <v>59</v>
      </c>
      <c r="P17">
        <v>1</v>
      </c>
      <c r="Q17">
        <f t="shared" si="1"/>
        <v>0</v>
      </c>
      <c r="R17">
        <f t="shared" si="2"/>
        <v>0</v>
      </c>
      <c r="S17">
        <f t="shared" si="3"/>
        <v>0</v>
      </c>
      <c r="T17">
        <f t="shared" si="4"/>
        <v>0</v>
      </c>
      <c r="U17">
        <f t="shared" si="5"/>
        <v>0</v>
      </c>
      <c r="V17">
        <f t="shared" si="6"/>
        <v>0</v>
      </c>
      <c r="W17">
        <f t="shared" si="7"/>
        <v>0</v>
      </c>
      <c r="X17">
        <f t="shared" si="8"/>
        <v>0</v>
      </c>
      <c r="Y17">
        <f t="shared" si="9"/>
        <v>0</v>
      </c>
      <c r="Z17">
        <f t="shared" si="10"/>
        <v>0</v>
      </c>
      <c r="AA17">
        <f t="shared" si="11"/>
        <v>0</v>
      </c>
      <c r="AB17">
        <f t="shared" si="12"/>
        <v>0</v>
      </c>
      <c r="AC17">
        <f t="shared" si="13"/>
        <v>0</v>
      </c>
      <c r="AD17">
        <f t="shared" si="14"/>
        <v>0</v>
      </c>
      <c r="AE17">
        <f t="shared" si="15"/>
        <v>0</v>
      </c>
      <c r="AF17">
        <f t="shared" si="16"/>
        <v>0</v>
      </c>
      <c r="AG17">
        <f t="shared" si="17"/>
        <v>0</v>
      </c>
      <c r="AH17">
        <f t="shared" si="18"/>
        <v>0</v>
      </c>
      <c r="AI17">
        <f t="shared" si="19"/>
        <v>0</v>
      </c>
      <c r="AJ17">
        <f t="shared" si="20"/>
        <v>0</v>
      </c>
      <c r="AK17">
        <f t="shared" si="21"/>
        <v>0</v>
      </c>
      <c r="AL17">
        <f t="shared" si="22"/>
        <v>0</v>
      </c>
      <c r="AM17">
        <f t="shared" si="23"/>
        <v>0</v>
      </c>
      <c r="AN17">
        <f t="shared" si="24"/>
        <v>0</v>
      </c>
      <c r="AO17">
        <f t="shared" si="25"/>
        <v>0</v>
      </c>
      <c r="AP17">
        <f t="shared" si="26"/>
        <v>0</v>
      </c>
      <c r="AQ17">
        <f t="shared" si="27"/>
        <v>0</v>
      </c>
      <c r="AR17">
        <f t="shared" si="28"/>
        <v>0</v>
      </c>
      <c r="AS17">
        <f t="shared" si="29"/>
        <v>0</v>
      </c>
      <c r="AT17">
        <f t="shared" si="30"/>
        <v>0</v>
      </c>
    </row>
    <row r="18" spans="1:46" ht="20.100000000000001" customHeight="1">
      <c r="A18" s="38" t="s">
        <v>375</v>
      </c>
      <c r="B18" s="103" t="s">
        <v>584</v>
      </c>
      <c r="C18" s="40" t="s">
        <v>346</v>
      </c>
      <c r="D18" s="47">
        <v>12</v>
      </c>
      <c r="E18" s="47"/>
      <c r="F18" s="47"/>
      <c r="G18" s="47"/>
      <c r="H18" s="47"/>
      <c r="I18" s="47"/>
      <c r="J18" s="47"/>
      <c r="K18" s="47">
        <f t="shared" si="0"/>
        <v>0</v>
      </c>
      <c r="L18" s="41"/>
      <c r="N18" t="str">
        <f t="shared" ref="N18:N32" si="31">"01"</f>
        <v>01</v>
      </c>
      <c r="O18" s="1" t="s">
        <v>59</v>
      </c>
      <c r="P18">
        <v>1</v>
      </c>
      <c r="Q18">
        <f t="shared" si="1"/>
        <v>0</v>
      </c>
      <c r="R18">
        <f t="shared" si="2"/>
        <v>0</v>
      </c>
      <c r="S18">
        <f t="shared" si="3"/>
        <v>0</v>
      </c>
      <c r="T18">
        <f t="shared" si="4"/>
        <v>0</v>
      </c>
      <c r="U18">
        <f t="shared" si="5"/>
        <v>0</v>
      </c>
      <c r="V18">
        <f t="shared" si="6"/>
        <v>0</v>
      </c>
      <c r="W18">
        <f t="shared" si="7"/>
        <v>0</v>
      </c>
      <c r="X18">
        <f t="shared" si="8"/>
        <v>0</v>
      </c>
      <c r="Y18">
        <f t="shared" si="9"/>
        <v>0</v>
      </c>
      <c r="Z18">
        <f t="shared" si="10"/>
        <v>0</v>
      </c>
      <c r="AA18">
        <f t="shared" si="11"/>
        <v>0</v>
      </c>
      <c r="AB18">
        <f t="shared" si="12"/>
        <v>0</v>
      </c>
      <c r="AC18">
        <f t="shared" si="13"/>
        <v>0</v>
      </c>
      <c r="AD18">
        <f t="shared" si="14"/>
        <v>0</v>
      </c>
      <c r="AE18">
        <f t="shared" si="15"/>
        <v>0</v>
      </c>
      <c r="AF18">
        <f t="shared" si="16"/>
        <v>0</v>
      </c>
      <c r="AG18">
        <f t="shared" si="17"/>
        <v>0</v>
      </c>
      <c r="AH18">
        <f t="shared" si="18"/>
        <v>0</v>
      </c>
      <c r="AI18">
        <f t="shared" si="19"/>
        <v>0</v>
      </c>
      <c r="AJ18">
        <f t="shared" si="20"/>
        <v>0</v>
      </c>
      <c r="AK18">
        <f t="shared" si="21"/>
        <v>0</v>
      </c>
      <c r="AL18">
        <f t="shared" si="22"/>
        <v>0</v>
      </c>
      <c r="AM18">
        <f t="shared" si="23"/>
        <v>0</v>
      </c>
      <c r="AN18">
        <f t="shared" si="24"/>
        <v>0</v>
      </c>
      <c r="AO18">
        <f t="shared" si="25"/>
        <v>0</v>
      </c>
      <c r="AP18">
        <f t="shared" si="26"/>
        <v>0</v>
      </c>
      <c r="AQ18">
        <f t="shared" si="27"/>
        <v>0</v>
      </c>
      <c r="AR18">
        <f t="shared" si="28"/>
        <v>0</v>
      </c>
      <c r="AS18">
        <f t="shared" si="29"/>
        <v>0</v>
      </c>
      <c r="AT18">
        <f t="shared" si="30"/>
        <v>0</v>
      </c>
    </row>
    <row r="19" spans="1:46" ht="20.100000000000001" customHeight="1">
      <c r="A19" s="38" t="s">
        <v>375</v>
      </c>
      <c r="B19" s="103" t="s">
        <v>554</v>
      </c>
      <c r="C19" s="40" t="s">
        <v>346</v>
      </c>
      <c r="D19" s="47">
        <v>2</v>
      </c>
      <c r="E19" s="47"/>
      <c r="F19" s="47"/>
      <c r="G19" s="47"/>
      <c r="H19" s="47"/>
      <c r="I19" s="47"/>
      <c r="J19" s="47"/>
      <c r="K19" s="47">
        <f t="shared" si="0"/>
        <v>0</v>
      </c>
      <c r="L19" s="41"/>
      <c r="N19" t="str">
        <f t="shared" si="31"/>
        <v>01</v>
      </c>
      <c r="O19" s="1" t="s">
        <v>59</v>
      </c>
      <c r="P19">
        <v>1</v>
      </c>
      <c r="Q19">
        <f t="shared" si="1"/>
        <v>0</v>
      </c>
      <c r="R19">
        <f t="shared" si="2"/>
        <v>0</v>
      </c>
      <c r="S19">
        <f t="shared" si="3"/>
        <v>0</v>
      </c>
      <c r="T19">
        <f t="shared" si="4"/>
        <v>0</v>
      </c>
      <c r="U19">
        <f t="shared" si="5"/>
        <v>0</v>
      </c>
      <c r="V19">
        <f t="shared" si="6"/>
        <v>0</v>
      </c>
      <c r="W19">
        <f t="shared" si="7"/>
        <v>0</v>
      </c>
      <c r="X19">
        <f t="shared" si="8"/>
        <v>0</v>
      </c>
      <c r="Y19">
        <f t="shared" si="9"/>
        <v>0</v>
      </c>
      <c r="Z19">
        <f t="shared" si="10"/>
        <v>0</v>
      </c>
      <c r="AA19">
        <f t="shared" si="11"/>
        <v>0</v>
      </c>
      <c r="AB19">
        <f t="shared" si="12"/>
        <v>0</v>
      </c>
      <c r="AC19">
        <f t="shared" si="13"/>
        <v>0</v>
      </c>
      <c r="AD19">
        <f t="shared" si="14"/>
        <v>0</v>
      </c>
      <c r="AE19">
        <f t="shared" si="15"/>
        <v>0</v>
      </c>
      <c r="AF19">
        <f t="shared" si="16"/>
        <v>0</v>
      </c>
      <c r="AG19">
        <f t="shared" si="17"/>
        <v>0</v>
      </c>
      <c r="AH19">
        <f t="shared" si="18"/>
        <v>0</v>
      </c>
      <c r="AI19">
        <f t="shared" si="19"/>
        <v>0</v>
      </c>
      <c r="AJ19">
        <f t="shared" si="20"/>
        <v>0</v>
      </c>
      <c r="AK19">
        <f t="shared" si="21"/>
        <v>0</v>
      </c>
      <c r="AL19">
        <f t="shared" si="22"/>
        <v>0</v>
      </c>
      <c r="AM19">
        <f t="shared" si="23"/>
        <v>0</v>
      </c>
      <c r="AN19">
        <f t="shared" si="24"/>
        <v>0</v>
      </c>
      <c r="AO19">
        <f t="shared" si="25"/>
        <v>0</v>
      </c>
      <c r="AP19">
        <f t="shared" si="26"/>
        <v>0</v>
      </c>
      <c r="AQ19">
        <f t="shared" si="27"/>
        <v>0</v>
      </c>
      <c r="AR19">
        <f t="shared" si="28"/>
        <v>0</v>
      </c>
      <c r="AS19">
        <f t="shared" si="29"/>
        <v>0</v>
      </c>
      <c r="AT19">
        <f t="shared" si="30"/>
        <v>0</v>
      </c>
    </row>
    <row r="20" spans="1:46" ht="20.100000000000001" customHeight="1">
      <c r="A20" s="38" t="s">
        <v>373</v>
      </c>
      <c r="B20" s="103" t="s">
        <v>567</v>
      </c>
      <c r="C20" s="40" t="s">
        <v>346</v>
      </c>
      <c r="D20" s="47">
        <v>6</v>
      </c>
      <c r="E20" s="47"/>
      <c r="F20" s="47"/>
      <c r="G20" s="47"/>
      <c r="H20" s="47"/>
      <c r="I20" s="47"/>
      <c r="J20" s="47"/>
      <c r="K20" s="47">
        <f t="shared" si="0"/>
        <v>0</v>
      </c>
      <c r="L20" s="41"/>
      <c r="N20" t="str">
        <f t="shared" si="31"/>
        <v>01</v>
      </c>
      <c r="O20" s="1" t="s">
        <v>59</v>
      </c>
      <c r="P20">
        <v>1</v>
      </c>
      <c r="Q20">
        <f t="shared" si="1"/>
        <v>0</v>
      </c>
      <c r="R20">
        <f t="shared" si="2"/>
        <v>0</v>
      </c>
      <c r="S20">
        <f t="shared" si="3"/>
        <v>0</v>
      </c>
      <c r="T20">
        <f t="shared" si="4"/>
        <v>0</v>
      </c>
      <c r="U20">
        <f t="shared" si="5"/>
        <v>0</v>
      </c>
      <c r="V20">
        <f t="shared" si="6"/>
        <v>0</v>
      </c>
      <c r="W20">
        <f t="shared" si="7"/>
        <v>0</v>
      </c>
      <c r="X20">
        <f t="shared" si="8"/>
        <v>0</v>
      </c>
      <c r="Y20">
        <f t="shared" si="9"/>
        <v>0</v>
      </c>
      <c r="Z20">
        <f t="shared" si="10"/>
        <v>0</v>
      </c>
      <c r="AA20">
        <f t="shared" si="11"/>
        <v>0</v>
      </c>
      <c r="AB20">
        <f t="shared" si="12"/>
        <v>0</v>
      </c>
      <c r="AC20">
        <f t="shared" si="13"/>
        <v>0</v>
      </c>
      <c r="AD20">
        <f t="shared" si="14"/>
        <v>0</v>
      </c>
      <c r="AE20">
        <f t="shared" si="15"/>
        <v>0</v>
      </c>
      <c r="AF20">
        <f t="shared" si="16"/>
        <v>0</v>
      </c>
      <c r="AG20">
        <f t="shared" si="17"/>
        <v>0</v>
      </c>
      <c r="AH20">
        <f t="shared" si="18"/>
        <v>0</v>
      </c>
      <c r="AI20">
        <f t="shared" si="19"/>
        <v>0</v>
      </c>
      <c r="AJ20">
        <f t="shared" si="20"/>
        <v>0</v>
      </c>
      <c r="AK20">
        <f t="shared" si="21"/>
        <v>0</v>
      </c>
      <c r="AL20">
        <f t="shared" si="22"/>
        <v>0</v>
      </c>
      <c r="AM20">
        <f t="shared" si="23"/>
        <v>0</v>
      </c>
      <c r="AN20">
        <f t="shared" si="24"/>
        <v>0</v>
      </c>
      <c r="AO20">
        <f t="shared" si="25"/>
        <v>0</v>
      </c>
      <c r="AP20">
        <f t="shared" si="26"/>
        <v>0</v>
      </c>
      <c r="AQ20">
        <f t="shared" si="27"/>
        <v>0</v>
      </c>
      <c r="AR20">
        <f t="shared" si="28"/>
        <v>0</v>
      </c>
      <c r="AS20">
        <f t="shared" si="29"/>
        <v>0</v>
      </c>
      <c r="AT20">
        <f t="shared" si="30"/>
        <v>0</v>
      </c>
    </row>
    <row r="21" spans="1:46" ht="20.100000000000001" customHeight="1">
      <c r="A21" s="38" t="s">
        <v>373</v>
      </c>
      <c r="B21" s="103" t="s">
        <v>585</v>
      </c>
      <c r="C21" s="40" t="s">
        <v>346</v>
      </c>
      <c r="D21" s="47">
        <v>1</v>
      </c>
      <c r="E21" s="47"/>
      <c r="F21" s="47"/>
      <c r="G21" s="47"/>
      <c r="H21" s="47"/>
      <c r="I21" s="47"/>
      <c r="J21" s="47"/>
      <c r="K21" s="47">
        <f t="shared" si="0"/>
        <v>0</v>
      </c>
      <c r="L21" s="41"/>
      <c r="N21" t="str">
        <f t="shared" si="31"/>
        <v>01</v>
      </c>
      <c r="O21" s="1" t="s">
        <v>59</v>
      </c>
      <c r="P21">
        <v>1</v>
      </c>
      <c r="Q21">
        <f t="shared" si="1"/>
        <v>0</v>
      </c>
      <c r="R21">
        <f t="shared" si="2"/>
        <v>0</v>
      </c>
      <c r="S21">
        <f t="shared" si="3"/>
        <v>0</v>
      </c>
      <c r="T21">
        <f t="shared" si="4"/>
        <v>0</v>
      </c>
      <c r="U21">
        <f t="shared" si="5"/>
        <v>0</v>
      </c>
      <c r="V21">
        <f t="shared" si="6"/>
        <v>0</v>
      </c>
      <c r="W21">
        <f t="shared" si="7"/>
        <v>0</v>
      </c>
      <c r="X21">
        <f t="shared" si="8"/>
        <v>0</v>
      </c>
      <c r="Y21">
        <f t="shared" si="9"/>
        <v>0</v>
      </c>
      <c r="Z21">
        <f t="shared" si="10"/>
        <v>0</v>
      </c>
      <c r="AA21">
        <f t="shared" si="11"/>
        <v>0</v>
      </c>
      <c r="AB21">
        <f t="shared" si="12"/>
        <v>0</v>
      </c>
      <c r="AC21">
        <f t="shared" si="13"/>
        <v>0</v>
      </c>
      <c r="AD21">
        <f t="shared" si="14"/>
        <v>0</v>
      </c>
      <c r="AE21">
        <f t="shared" si="15"/>
        <v>0</v>
      </c>
      <c r="AF21">
        <f t="shared" si="16"/>
        <v>0</v>
      </c>
      <c r="AG21">
        <f t="shared" si="17"/>
        <v>0</v>
      </c>
      <c r="AH21">
        <f t="shared" si="18"/>
        <v>0</v>
      </c>
      <c r="AI21">
        <f t="shared" si="19"/>
        <v>0</v>
      </c>
      <c r="AJ21">
        <f t="shared" si="20"/>
        <v>0</v>
      </c>
      <c r="AK21">
        <f t="shared" si="21"/>
        <v>0</v>
      </c>
      <c r="AL21">
        <f t="shared" si="22"/>
        <v>0</v>
      </c>
      <c r="AM21">
        <f t="shared" si="23"/>
        <v>0</v>
      </c>
      <c r="AN21">
        <f t="shared" si="24"/>
        <v>0</v>
      </c>
      <c r="AO21">
        <f t="shared" si="25"/>
        <v>0</v>
      </c>
      <c r="AP21">
        <f t="shared" si="26"/>
        <v>0</v>
      </c>
      <c r="AQ21">
        <f t="shared" si="27"/>
        <v>0</v>
      </c>
      <c r="AR21">
        <f t="shared" si="28"/>
        <v>0</v>
      </c>
      <c r="AS21">
        <f t="shared" si="29"/>
        <v>0</v>
      </c>
      <c r="AT21">
        <f t="shared" si="30"/>
        <v>0</v>
      </c>
    </row>
    <row r="22" spans="1:46" ht="20.100000000000001" customHeight="1">
      <c r="A22" s="38" t="s">
        <v>344</v>
      </c>
      <c r="B22" s="38" t="s">
        <v>345</v>
      </c>
      <c r="C22" s="40" t="s">
        <v>346</v>
      </c>
      <c r="D22" s="47">
        <v>28</v>
      </c>
      <c r="E22" s="47"/>
      <c r="F22" s="47"/>
      <c r="G22" s="47"/>
      <c r="H22" s="47"/>
      <c r="I22" s="47"/>
      <c r="J22" s="47"/>
      <c r="K22" s="47">
        <f t="shared" si="0"/>
        <v>0</v>
      </c>
      <c r="L22" s="41"/>
      <c r="N22" t="str">
        <f t="shared" si="31"/>
        <v>01</v>
      </c>
      <c r="O22" s="1" t="s">
        <v>59</v>
      </c>
      <c r="P22">
        <v>1</v>
      </c>
      <c r="Q22">
        <f t="shared" si="1"/>
        <v>0</v>
      </c>
      <c r="R22">
        <f t="shared" si="2"/>
        <v>0</v>
      </c>
      <c r="S22">
        <f t="shared" si="3"/>
        <v>0</v>
      </c>
      <c r="T22">
        <f t="shared" si="4"/>
        <v>0</v>
      </c>
      <c r="U22">
        <f t="shared" si="5"/>
        <v>0</v>
      </c>
      <c r="V22">
        <f t="shared" si="6"/>
        <v>0</v>
      </c>
      <c r="W22">
        <f t="shared" si="7"/>
        <v>0</v>
      </c>
      <c r="X22">
        <f t="shared" si="8"/>
        <v>0</v>
      </c>
      <c r="Y22">
        <f t="shared" si="9"/>
        <v>0</v>
      </c>
      <c r="Z22">
        <f t="shared" si="10"/>
        <v>0</v>
      </c>
      <c r="AA22">
        <f t="shared" si="11"/>
        <v>0</v>
      </c>
      <c r="AB22">
        <f t="shared" si="12"/>
        <v>0</v>
      </c>
      <c r="AC22">
        <f t="shared" si="13"/>
        <v>0</v>
      </c>
      <c r="AD22">
        <f t="shared" si="14"/>
        <v>0</v>
      </c>
      <c r="AE22">
        <f t="shared" si="15"/>
        <v>0</v>
      </c>
      <c r="AF22">
        <f t="shared" si="16"/>
        <v>0</v>
      </c>
      <c r="AG22">
        <f t="shared" si="17"/>
        <v>0</v>
      </c>
      <c r="AH22">
        <f t="shared" si="18"/>
        <v>0</v>
      </c>
      <c r="AI22">
        <f t="shared" si="19"/>
        <v>0</v>
      </c>
      <c r="AJ22">
        <f t="shared" si="20"/>
        <v>0</v>
      </c>
      <c r="AK22">
        <f t="shared" si="21"/>
        <v>0</v>
      </c>
      <c r="AL22">
        <f t="shared" si="22"/>
        <v>0</v>
      </c>
      <c r="AM22">
        <f t="shared" si="23"/>
        <v>0</v>
      </c>
      <c r="AN22">
        <f t="shared" si="24"/>
        <v>0</v>
      </c>
      <c r="AO22">
        <f t="shared" si="25"/>
        <v>0</v>
      </c>
      <c r="AP22">
        <f t="shared" si="26"/>
        <v>0</v>
      </c>
      <c r="AQ22">
        <f t="shared" si="27"/>
        <v>0</v>
      </c>
      <c r="AR22">
        <f t="shared" si="28"/>
        <v>0</v>
      </c>
      <c r="AS22">
        <f t="shared" si="29"/>
        <v>0</v>
      </c>
      <c r="AT22">
        <f t="shared" si="30"/>
        <v>0</v>
      </c>
    </row>
    <row r="23" spans="1:46" ht="20.100000000000001" customHeight="1">
      <c r="A23" s="38" t="s">
        <v>347</v>
      </c>
      <c r="B23" s="38" t="s">
        <v>350</v>
      </c>
      <c r="C23" s="40" t="s">
        <v>27</v>
      </c>
      <c r="D23" s="47">
        <v>2</v>
      </c>
      <c r="E23" s="47"/>
      <c r="F23" s="47"/>
      <c r="G23" s="47"/>
      <c r="H23" s="47"/>
      <c r="I23" s="47"/>
      <c r="J23" s="47"/>
      <c r="K23" s="47">
        <f t="shared" si="0"/>
        <v>0</v>
      </c>
      <c r="L23" s="41"/>
      <c r="N23" t="str">
        <f t="shared" si="31"/>
        <v>01</v>
      </c>
      <c r="O23" s="1" t="s">
        <v>59</v>
      </c>
      <c r="P23">
        <v>1</v>
      </c>
      <c r="Q23">
        <f t="shared" si="1"/>
        <v>0</v>
      </c>
      <c r="R23">
        <f t="shared" si="2"/>
        <v>0</v>
      </c>
      <c r="S23">
        <f t="shared" si="3"/>
        <v>0</v>
      </c>
      <c r="T23">
        <f t="shared" si="4"/>
        <v>0</v>
      </c>
      <c r="U23">
        <f t="shared" si="5"/>
        <v>0</v>
      </c>
      <c r="V23">
        <f t="shared" si="6"/>
        <v>0</v>
      </c>
      <c r="W23">
        <f t="shared" si="7"/>
        <v>0</v>
      </c>
      <c r="X23">
        <f t="shared" si="8"/>
        <v>0</v>
      </c>
      <c r="Y23">
        <f t="shared" si="9"/>
        <v>0</v>
      </c>
      <c r="Z23">
        <f t="shared" si="10"/>
        <v>0</v>
      </c>
      <c r="AA23">
        <f t="shared" si="11"/>
        <v>0</v>
      </c>
      <c r="AB23">
        <f t="shared" si="12"/>
        <v>0</v>
      </c>
      <c r="AC23">
        <f t="shared" si="13"/>
        <v>0</v>
      </c>
      <c r="AD23">
        <f t="shared" si="14"/>
        <v>0</v>
      </c>
      <c r="AE23">
        <f t="shared" si="15"/>
        <v>0</v>
      </c>
      <c r="AF23">
        <f t="shared" si="16"/>
        <v>0</v>
      </c>
      <c r="AG23">
        <f t="shared" si="17"/>
        <v>0</v>
      </c>
      <c r="AH23">
        <f t="shared" si="18"/>
        <v>0</v>
      </c>
      <c r="AI23">
        <f t="shared" si="19"/>
        <v>0</v>
      </c>
      <c r="AJ23">
        <f t="shared" si="20"/>
        <v>0</v>
      </c>
      <c r="AK23">
        <f t="shared" si="21"/>
        <v>0</v>
      </c>
      <c r="AL23">
        <f t="shared" si="22"/>
        <v>0</v>
      </c>
      <c r="AM23">
        <f t="shared" si="23"/>
        <v>0</v>
      </c>
      <c r="AN23">
        <f t="shared" si="24"/>
        <v>0</v>
      </c>
      <c r="AO23">
        <f t="shared" si="25"/>
        <v>0</v>
      </c>
      <c r="AP23">
        <f t="shared" si="26"/>
        <v>0</v>
      </c>
      <c r="AQ23">
        <f t="shared" si="27"/>
        <v>0</v>
      </c>
      <c r="AR23">
        <f t="shared" si="28"/>
        <v>0</v>
      </c>
      <c r="AS23">
        <f t="shared" si="29"/>
        <v>0</v>
      </c>
      <c r="AT23">
        <f t="shared" si="30"/>
        <v>0</v>
      </c>
    </row>
    <row r="24" spans="1:46" ht="20.100000000000001" customHeight="1">
      <c r="A24" s="38" t="s">
        <v>347</v>
      </c>
      <c r="B24" s="38" t="s">
        <v>349</v>
      </c>
      <c r="C24" s="40" t="s">
        <v>27</v>
      </c>
      <c r="D24" s="47">
        <v>14</v>
      </c>
      <c r="E24" s="47"/>
      <c r="F24" s="47"/>
      <c r="G24" s="47"/>
      <c r="H24" s="47"/>
      <c r="I24" s="47"/>
      <c r="J24" s="47"/>
      <c r="K24" s="47">
        <f t="shared" si="0"/>
        <v>0</v>
      </c>
      <c r="L24" s="41"/>
      <c r="N24" t="str">
        <f t="shared" si="31"/>
        <v>01</v>
      </c>
      <c r="O24" s="1" t="s">
        <v>59</v>
      </c>
      <c r="P24">
        <v>1</v>
      </c>
      <c r="Q24">
        <f t="shared" si="1"/>
        <v>0</v>
      </c>
      <c r="R24">
        <f t="shared" si="2"/>
        <v>0</v>
      </c>
      <c r="S24">
        <f t="shared" si="3"/>
        <v>0</v>
      </c>
      <c r="T24">
        <f t="shared" si="4"/>
        <v>0</v>
      </c>
      <c r="U24">
        <f t="shared" si="5"/>
        <v>0</v>
      </c>
      <c r="V24">
        <f t="shared" si="6"/>
        <v>0</v>
      </c>
      <c r="W24">
        <f t="shared" si="7"/>
        <v>0</v>
      </c>
      <c r="X24">
        <f t="shared" si="8"/>
        <v>0</v>
      </c>
      <c r="Y24">
        <f t="shared" si="9"/>
        <v>0</v>
      </c>
      <c r="Z24">
        <f t="shared" si="10"/>
        <v>0</v>
      </c>
      <c r="AA24">
        <f t="shared" si="11"/>
        <v>0</v>
      </c>
      <c r="AB24">
        <f t="shared" si="12"/>
        <v>0</v>
      </c>
      <c r="AC24">
        <f t="shared" si="13"/>
        <v>0</v>
      </c>
      <c r="AD24">
        <f t="shared" si="14"/>
        <v>0</v>
      </c>
      <c r="AE24">
        <f t="shared" si="15"/>
        <v>0</v>
      </c>
      <c r="AF24">
        <f t="shared" si="16"/>
        <v>0</v>
      </c>
      <c r="AG24">
        <f t="shared" si="17"/>
        <v>0</v>
      </c>
      <c r="AH24">
        <f t="shared" si="18"/>
        <v>0</v>
      </c>
      <c r="AI24">
        <f t="shared" si="19"/>
        <v>0</v>
      </c>
      <c r="AJ24">
        <f t="shared" si="20"/>
        <v>0</v>
      </c>
      <c r="AK24">
        <f t="shared" si="21"/>
        <v>0</v>
      </c>
      <c r="AL24">
        <f t="shared" si="22"/>
        <v>0</v>
      </c>
      <c r="AM24">
        <f t="shared" si="23"/>
        <v>0</v>
      </c>
      <c r="AN24">
        <f t="shared" si="24"/>
        <v>0</v>
      </c>
      <c r="AO24">
        <f t="shared" si="25"/>
        <v>0</v>
      </c>
      <c r="AP24">
        <f t="shared" si="26"/>
        <v>0</v>
      </c>
      <c r="AQ24">
        <f t="shared" si="27"/>
        <v>0</v>
      </c>
      <c r="AR24">
        <f t="shared" si="28"/>
        <v>0</v>
      </c>
      <c r="AS24">
        <f t="shared" si="29"/>
        <v>0</v>
      </c>
      <c r="AT24">
        <f t="shared" si="30"/>
        <v>0</v>
      </c>
    </row>
    <row r="25" spans="1:46" ht="20.100000000000001" customHeight="1">
      <c r="A25" s="38" t="s">
        <v>347</v>
      </c>
      <c r="B25" s="38" t="s">
        <v>348</v>
      </c>
      <c r="C25" s="40" t="s">
        <v>27</v>
      </c>
      <c r="D25" s="47">
        <v>21</v>
      </c>
      <c r="E25" s="47"/>
      <c r="F25" s="47"/>
      <c r="G25" s="47"/>
      <c r="H25" s="47"/>
      <c r="I25" s="47"/>
      <c r="J25" s="47"/>
      <c r="K25" s="47">
        <f t="shared" si="0"/>
        <v>0</v>
      </c>
      <c r="L25" s="41"/>
      <c r="N25" t="str">
        <f t="shared" si="31"/>
        <v>01</v>
      </c>
      <c r="O25" s="1" t="s">
        <v>59</v>
      </c>
      <c r="P25">
        <v>1</v>
      </c>
      <c r="Q25">
        <f t="shared" si="1"/>
        <v>0</v>
      </c>
      <c r="R25">
        <f t="shared" si="2"/>
        <v>0</v>
      </c>
      <c r="S25">
        <f t="shared" si="3"/>
        <v>0</v>
      </c>
      <c r="T25">
        <f t="shared" si="4"/>
        <v>0</v>
      </c>
      <c r="U25">
        <f t="shared" si="5"/>
        <v>0</v>
      </c>
      <c r="V25">
        <f t="shared" si="6"/>
        <v>0</v>
      </c>
      <c r="W25">
        <f t="shared" si="7"/>
        <v>0</v>
      </c>
      <c r="X25">
        <f t="shared" si="8"/>
        <v>0</v>
      </c>
      <c r="Y25">
        <f t="shared" si="9"/>
        <v>0</v>
      </c>
      <c r="Z25">
        <f t="shared" si="10"/>
        <v>0</v>
      </c>
      <c r="AA25">
        <f t="shared" si="11"/>
        <v>0</v>
      </c>
      <c r="AB25">
        <f t="shared" si="12"/>
        <v>0</v>
      </c>
      <c r="AC25">
        <f t="shared" si="13"/>
        <v>0</v>
      </c>
      <c r="AD25">
        <f t="shared" si="14"/>
        <v>0</v>
      </c>
      <c r="AE25">
        <f t="shared" si="15"/>
        <v>0</v>
      </c>
      <c r="AF25">
        <f t="shared" si="16"/>
        <v>0</v>
      </c>
      <c r="AG25">
        <f t="shared" si="17"/>
        <v>0</v>
      </c>
      <c r="AH25">
        <f t="shared" si="18"/>
        <v>0</v>
      </c>
      <c r="AI25">
        <f t="shared" si="19"/>
        <v>0</v>
      </c>
      <c r="AJ25">
        <f t="shared" si="20"/>
        <v>0</v>
      </c>
      <c r="AK25">
        <f t="shared" si="21"/>
        <v>0</v>
      </c>
      <c r="AL25">
        <f t="shared" si="22"/>
        <v>0</v>
      </c>
      <c r="AM25">
        <f t="shared" si="23"/>
        <v>0</v>
      </c>
      <c r="AN25">
        <f t="shared" si="24"/>
        <v>0</v>
      </c>
      <c r="AO25">
        <f t="shared" si="25"/>
        <v>0</v>
      </c>
      <c r="AP25">
        <f t="shared" si="26"/>
        <v>0</v>
      </c>
      <c r="AQ25">
        <f t="shared" si="27"/>
        <v>0</v>
      </c>
      <c r="AR25">
        <f t="shared" si="28"/>
        <v>0</v>
      </c>
      <c r="AS25">
        <f t="shared" si="29"/>
        <v>0</v>
      </c>
      <c r="AT25">
        <f t="shared" si="30"/>
        <v>0</v>
      </c>
    </row>
    <row r="26" spans="1:46" ht="20.100000000000001" customHeight="1">
      <c r="A26" s="38" t="s">
        <v>347</v>
      </c>
      <c r="B26" s="38" t="s">
        <v>351</v>
      </c>
      <c r="C26" s="40" t="s">
        <v>27</v>
      </c>
      <c r="D26" s="47">
        <v>7</v>
      </c>
      <c r="E26" s="47"/>
      <c r="F26" s="47"/>
      <c r="G26" s="47"/>
      <c r="H26" s="47"/>
      <c r="I26" s="47"/>
      <c r="J26" s="47"/>
      <c r="K26" s="47">
        <f t="shared" si="0"/>
        <v>0</v>
      </c>
      <c r="L26" s="41"/>
      <c r="N26" t="str">
        <f t="shared" si="31"/>
        <v>01</v>
      </c>
      <c r="O26" s="1" t="s">
        <v>59</v>
      </c>
      <c r="P26">
        <v>1</v>
      </c>
      <c r="Q26">
        <f t="shared" si="1"/>
        <v>0</v>
      </c>
      <c r="R26">
        <f t="shared" si="2"/>
        <v>0</v>
      </c>
      <c r="S26">
        <f t="shared" si="3"/>
        <v>0</v>
      </c>
      <c r="T26">
        <f t="shared" si="4"/>
        <v>0</v>
      </c>
      <c r="U26">
        <f t="shared" si="5"/>
        <v>0</v>
      </c>
      <c r="V26">
        <f t="shared" si="6"/>
        <v>0</v>
      </c>
      <c r="W26">
        <f t="shared" si="7"/>
        <v>0</v>
      </c>
      <c r="X26">
        <f t="shared" si="8"/>
        <v>0</v>
      </c>
      <c r="Y26">
        <f t="shared" si="9"/>
        <v>0</v>
      </c>
      <c r="Z26">
        <f t="shared" si="10"/>
        <v>0</v>
      </c>
      <c r="AA26">
        <f t="shared" si="11"/>
        <v>0</v>
      </c>
      <c r="AB26">
        <f t="shared" si="12"/>
        <v>0</v>
      </c>
      <c r="AC26">
        <f t="shared" si="13"/>
        <v>0</v>
      </c>
      <c r="AD26">
        <f t="shared" si="14"/>
        <v>0</v>
      </c>
      <c r="AE26">
        <f t="shared" si="15"/>
        <v>0</v>
      </c>
      <c r="AF26">
        <f t="shared" si="16"/>
        <v>0</v>
      </c>
      <c r="AG26">
        <f t="shared" si="17"/>
        <v>0</v>
      </c>
      <c r="AH26">
        <f t="shared" si="18"/>
        <v>0</v>
      </c>
      <c r="AI26">
        <f t="shared" si="19"/>
        <v>0</v>
      </c>
      <c r="AJ26">
        <f t="shared" si="20"/>
        <v>0</v>
      </c>
      <c r="AK26">
        <f t="shared" si="21"/>
        <v>0</v>
      </c>
      <c r="AL26">
        <f t="shared" si="22"/>
        <v>0</v>
      </c>
      <c r="AM26">
        <f t="shared" si="23"/>
        <v>0</v>
      </c>
      <c r="AN26">
        <f t="shared" si="24"/>
        <v>0</v>
      </c>
      <c r="AO26">
        <f t="shared" si="25"/>
        <v>0</v>
      </c>
      <c r="AP26">
        <f t="shared" si="26"/>
        <v>0</v>
      </c>
      <c r="AQ26">
        <f t="shared" si="27"/>
        <v>0</v>
      </c>
      <c r="AR26">
        <f t="shared" si="28"/>
        <v>0</v>
      </c>
      <c r="AS26">
        <f t="shared" si="29"/>
        <v>0</v>
      </c>
      <c r="AT26">
        <f t="shared" si="30"/>
        <v>0</v>
      </c>
    </row>
    <row r="27" spans="1:46" ht="20.100000000000001" customHeight="1">
      <c r="A27" s="38" t="s">
        <v>25</v>
      </c>
      <c r="B27" s="38" t="s">
        <v>26</v>
      </c>
      <c r="C27" s="40" t="s">
        <v>27</v>
      </c>
      <c r="D27" s="47">
        <f>공량산출서!F14</f>
        <v>0</v>
      </c>
      <c r="E27" s="47"/>
      <c r="F27" s="47"/>
      <c r="G27" s="47"/>
      <c r="H27" s="47"/>
      <c r="I27" s="47"/>
      <c r="J27" s="47"/>
      <c r="K27" s="47">
        <f t="shared" si="0"/>
        <v>0</v>
      </c>
      <c r="L27" s="41"/>
      <c r="N27" t="str">
        <f t="shared" si="31"/>
        <v>01</v>
      </c>
      <c r="O27" s="1" t="s">
        <v>59</v>
      </c>
      <c r="P27">
        <v>1</v>
      </c>
      <c r="Q27">
        <f t="shared" si="1"/>
        <v>0</v>
      </c>
      <c r="R27">
        <f t="shared" si="2"/>
        <v>0</v>
      </c>
      <c r="S27">
        <f t="shared" si="3"/>
        <v>0</v>
      </c>
      <c r="T27">
        <f t="shared" si="4"/>
        <v>0</v>
      </c>
      <c r="U27">
        <f t="shared" si="5"/>
        <v>0</v>
      </c>
      <c r="V27">
        <f t="shared" si="6"/>
        <v>0</v>
      </c>
      <c r="W27">
        <f t="shared" si="7"/>
        <v>0</v>
      </c>
      <c r="X27">
        <f t="shared" si="8"/>
        <v>0</v>
      </c>
      <c r="Y27">
        <f t="shared" si="9"/>
        <v>0</v>
      </c>
      <c r="Z27">
        <f t="shared" si="10"/>
        <v>0</v>
      </c>
      <c r="AA27">
        <f t="shared" si="11"/>
        <v>0</v>
      </c>
      <c r="AB27">
        <f t="shared" si="12"/>
        <v>0</v>
      </c>
      <c r="AC27">
        <f t="shared" si="13"/>
        <v>0</v>
      </c>
      <c r="AD27">
        <f t="shared" si="14"/>
        <v>0</v>
      </c>
      <c r="AE27">
        <f t="shared" si="15"/>
        <v>0</v>
      </c>
      <c r="AF27">
        <f t="shared" si="16"/>
        <v>0</v>
      </c>
      <c r="AG27">
        <f t="shared" si="17"/>
        <v>0</v>
      </c>
      <c r="AH27">
        <f t="shared" si="18"/>
        <v>0</v>
      </c>
      <c r="AI27">
        <f t="shared" si="19"/>
        <v>0</v>
      </c>
      <c r="AJ27">
        <f t="shared" si="20"/>
        <v>0</v>
      </c>
      <c r="AK27">
        <f t="shared" si="21"/>
        <v>0</v>
      </c>
      <c r="AL27">
        <f t="shared" si="22"/>
        <v>0</v>
      </c>
      <c r="AM27">
        <f t="shared" si="23"/>
        <v>0</v>
      </c>
      <c r="AN27">
        <f t="shared" si="24"/>
        <v>0</v>
      </c>
      <c r="AO27">
        <f t="shared" si="25"/>
        <v>0</v>
      </c>
      <c r="AP27">
        <f t="shared" si="26"/>
        <v>0</v>
      </c>
      <c r="AQ27">
        <f t="shared" si="27"/>
        <v>0</v>
      </c>
      <c r="AR27">
        <f t="shared" si="28"/>
        <v>0</v>
      </c>
      <c r="AS27">
        <f t="shared" si="29"/>
        <v>0</v>
      </c>
      <c r="AT27">
        <f t="shared" si="30"/>
        <v>0</v>
      </c>
    </row>
    <row r="28" spans="1:46" ht="20.100000000000001" customHeight="1">
      <c r="A28" s="38" t="s">
        <v>28</v>
      </c>
      <c r="B28" s="103" t="s">
        <v>572</v>
      </c>
      <c r="C28" s="40" t="s">
        <v>27</v>
      </c>
      <c r="D28" s="47">
        <f>공량산출서!F16</f>
        <v>0</v>
      </c>
      <c r="E28" s="47"/>
      <c r="F28" s="47"/>
      <c r="G28" s="47"/>
      <c r="H28" s="47"/>
      <c r="I28" s="47"/>
      <c r="J28" s="47"/>
      <c r="K28" s="47">
        <f t="shared" si="0"/>
        <v>0</v>
      </c>
      <c r="L28" s="41"/>
      <c r="N28" t="str">
        <f t="shared" si="31"/>
        <v>01</v>
      </c>
      <c r="O28" s="1" t="s">
        <v>59</v>
      </c>
      <c r="P28">
        <v>1</v>
      </c>
      <c r="Q28">
        <f t="shared" si="1"/>
        <v>0</v>
      </c>
      <c r="R28">
        <f t="shared" si="2"/>
        <v>0</v>
      </c>
      <c r="S28">
        <f t="shared" si="3"/>
        <v>0</v>
      </c>
      <c r="T28">
        <f t="shared" si="4"/>
        <v>0</v>
      </c>
      <c r="U28">
        <f t="shared" si="5"/>
        <v>0</v>
      </c>
      <c r="V28">
        <f t="shared" si="6"/>
        <v>0</v>
      </c>
      <c r="W28">
        <f t="shared" si="7"/>
        <v>0</v>
      </c>
      <c r="X28">
        <f t="shared" si="8"/>
        <v>0</v>
      </c>
      <c r="Y28">
        <f t="shared" si="9"/>
        <v>0</v>
      </c>
      <c r="Z28">
        <f t="shared" si="10"/>
        <v>0</v>
      </c>
      <c r="AA28">
        <f t="shared" si="11"/>
        <v>0</v>
      </c>
      <c r="AB28">
        <f t="shared" si="12"/>
        <v>0</v>
      </c>
      <c r="AC28">
        <f t="shared" si="13"/>
        <v>0</v>
      </c>
      <c r="AD28">
        <f t="shared" si="14"/>
        <v>0</v>
      </c>
      <c r="AE28">
        <f t="shared" si="15"/>
        <v>0</v>
      </c>
      <c r="AF28">
        <f t="shared" si="16"/>
        <v>0</v>
      </c>
      <c r="AG28">
        <f t="shared" si="17"/>
        <v>0</v>
      </c>
      <c r="AH28">
        <f t="shared" si="18"/>
        <v>0</v>
      </c>
      <c r="AI28">
        <f t="shared" si="19"/>
        <v>0</v>
      </c>
      <c r="AJ28">
        <f t="shared" si="20"/>
        <v>0</v>
      </c>
      <c r="AK28">
        <f t="shared" si="21"/>
        <v>0</v>
      </c>
      <c r="AL28">
        <f t="shared" si="22"/>
        <v>0</v>
      </c>
      <c r="AM28">
        <f t="shared" si="23"/>
        <v>0</v>
      </c>
      <c r="AN28">
        <f t="shared" si="24"/>
        <v>0</v>
      </c>
      <c r="AO28">
        <f t="shared" si="25"/>
        <v>0</v>
      </c>
      <c r="AP28">
        <f t="shared" si="26"/>
        <v>0</v>
      </c>
      <c r="AQ28">
        <f t="shared" si="27"/>
        <v>0</v>
      </c>
      <c r="AR28">
        <f t="shared" si="28"/>
        <v>0</v>
      </c>
      <c r="AS28">
        <f t="shared" si="29"/>
        <v>0</v>
      </c>
      <c r="AT28">
        <f t="shared" si="30"/>
        <v>0</v>
      </c>
    </row>
    <row r="29" spans="1:46" ht="20.100000000000001" customHeight="1">
      <c r="A29" s="38" t="s">
        <v>28</v>
      </c>
      <c r="B29" s="103" t="s">
        <v>586</v>
      </c>
      <c r="C29" s="40" t="s">
        <v>27</v>
      </c>
      <c r="D29" s="47">
        <f>공량산출서!F18</f>
        <v>0</v>
      </c>
      <c r="E29" s="47"/>
      <c r="F29" s="47"/>
      <c r="G29" s="47"/>
      <c r="H29" s="47"/>
      <c r="I29" s="47"/>
      <c r="J29" s="47"/>
      <c r="K29" s="47">
        <f t="shared" si="0"/>
        <v>0</v>
      </c>
      <c r="L29" s="41"/>
      <c r="N29" t="str">
        <f t="shared" si="31"/>
        <v>01</v>
      </c>
      <c r="O29" s="1" t="s">
        <v>59</v>
      </c>
      <c r="P29">
        <v>1</v>
      </c>
      <c r="Q29">
        <f t="shared" si="1"/>
        <v>0</v>
      </c>
      <c r="R29">
        <f t="shared" si="2"/>
        <v>0</v>
      </c>
      <c r="S29">
        <f t="shared" si="3"/>
        <v>0</v>
      </c>
      <c r="T29">
        <f t="shared" si="4"/>
        <v>0</v>
      </c>
      <c r="U29">
        <f t="shared" si="5"/>
        <v>0</v>
      </c>
      <c r="V29">
        <f t="shared" si="6"/>
        <v>0</v>
      </c>
      <c r="W29">
        <f t="shared" si="7"/>
        <v>0</v>
      </c>
      <c r="X29">
        <f t="shared" si="8"/>
        <v>0</v>
      </c>
      <c r="Y29">
        <f t="shared" si="9"/>
        <v>0</v>
      </c>
      <c r="Z29">
        <f t="shared" si="10"/>
        <v>0</v>
      </c>
      <c r="AA29">
        <f t="shared" si="11"/>
        <v>0</v>
      </c>
      <c r="AB29">
        <f t="shared" si="12"/>
        <v>0</v>
      </c>
      <c r="AC29">
        <f t="shared" si="13"/>
        <v>0</v>
      </c>
      <c r="AD29">
        <f t="shared" si="14"/>
        <v>0</v>
      </c>
      <c r="AE29">
        <f t="shared" si="15"/>
        <v>0</v>
      </c>
      <c r="AF29">
        <f t="shared" si="16"/>
        <v>0</v>
      </c>
      <c r="AG29">
        <f t="shared" si="17"/>
        <v>0</v>
      </c>
      <c r="AH29">
        <f t="shared" si="18"/>
        <v>0</v>
      </c>
      <c r="AI29">
        <f t="shared" si="19"/>
        <v>0</v>
      </c>
      <c r="AJ29">
        <f t="shared" si="20"/>
        <v>0</v>
      </c>
      <c r="AK29">
        <f t="shared" si="21"/>
        <v>0</v>
      </c>
      <c r="AL29">
        <f t="shared" si="22"/>
        <v>0</v>
      </c>
      <c r="AM29">
        <f t="shared" si="23"/>
        <v>0</v>
      </c>
      <c r="AN29">
        <f t="shared" si="24"/>
        <v>0</v>
      </c>
      <c r="AO29">
        <f t="shared" si="25"/>
        <v>0</v>
      </c>
      <c r="AP29">
        <f t="shared" si="26"/>
        <v>0</v>
      </c>
      <c r="AQ29">
        <f t="shared" si="27"/>
        <v>0</v>
      </c>
      <c r="AR29">
        <f t="shared" si="28"/>
        <v>0</v>
      </c>
      <c r="AS29">
        <f t="shared" si="29"/>
        <v>0</v>
      </c>
      <c r="AT29">
        <f t="shared" si="30"/>
        <v>0</v>
      </c>
    </row>
    <row r="30" spans="1:46" ht="20.100000000000001" customHeight="1">
      <c r="A30" s="38" t="s">
        <v>29</v>
      </c>
      <c r="B30" s="38" t="s">
        <v>30</v>
      </c>
      <c r="C30" s="40" t="s">
        <v>27</v>
      </c>
      <c r="D30" s="47">
        <f>공량산출서!F20</f>
        <v>0</v>
      </c>
      <c r="E30" s="47"/>
      <c r="F30" s="47"/>
      <c r="G30" s="47"/>
      <c r="H30" s="47"/>
      <c r="I30" s="47"/>
      <c r="J30" s="47"/>
      <c r="K30" s="47">
        <f t="shared" si="0"/>
        <v>0</v>
      </c>
      <c r="L30" s="41"/>
      <c r="N30" t="str">
        <f t="shared" si="31"/>
        <v>01</v>
      </c>
      <c r="O30" s="1" t="s">
        <v>59</v>
      </c>
      <c r="P30">
        <v>1</v>
      </c>
      <c r="Q30">
        <f t="shared" si="1"/>
        <v>0</v>
      </c>
      <c r="R30">
        <f t="shared" si="2"/>
        <v>0</v>
      </c>
      <c r="S30">
        <f t="shared" si="3"/>
        <v>0</v>
      </c>
      <c r="T30">
        <f t="shared" si="4"/>
        <v>0</v>
      </c>
      <c r="U30">
        <f t="shared" si="5"/>
        <v>0</v>
      </c>
      <c r="V30">
        <f t="shared" si="6"/>
        <v>0</v>
      </c>
      <c r="W30">
        <f t="shared" si="7"/>
        <v>0</v>
      </c>
      <c r="X30">
        <f t="shared" si="8"/>
        <v>0</v>
      </c>
      <c r="Y30">
        <f t="shared" si="9"/>
        <v>0</v>
      </c>
      <c r="Z30">
        <f t="shared" si="10"/>
        <v>0</v>
      </c>
      <c r="AA30">
        <f t="shared" si="11"/>
        <v>0</v>
      </c>
      <c r="AB30">
        <f t="shared" si="12"/>
        <v>0</v>
      </c>
      <c r="AC30">
        <f t="shared" si="13"/>
        <v>0</v>
      </c>
      <c r="AD30">
        <f t="shared" si="14"/>
        <v>0</v>
      </c>
      <c r="AE30">
        <f t="shared" si="15"/>
        <v>0</v>
      </c>
      <c r="AF30">
        <f t="shared" si="16"/>
        <v>0</v>
      </c>
      <c r="AG30">
        <f t="shared" si="17"/>
        <v>0</v>
      </c>
      <c r="AH30">
        <f t="shared" si="18"/>
        <v>0</v>
      </c>
      <c r="AI30">
        <f t="shared" si="19"/>
        <v>0</v>
      </c>
      <c r="AJ30">
        <f t="shared" si="20"/>
        <v>0</v>
      </c>
      <c r="AK30">
        <f t="shared" si="21"/>
        <v>0</v>
      </c>
      <c r="AL30">
        <f t="shared" si="22"/>
        <v>0</v>
      </c>
      <c r="AM30">
        <f t="shared" si="23"/>
        <v>0</v>
      </c>
      <c r="AN30">
        <f t="shared" si="24"/>
        <v>0</v>
      </c>
      <c r="AO30">
        <f t="shared" si="25"/>
        <v>0</v>
      </c>
      <c r="AP30">
        <f t="shared" si="26"/>
        <v>0</v>
      </c>
      <c r="AQ30">
        <f t="shared" si="27"/>
        <v>0</v>
      </c>
      <c r="AR30">
        <f t="shared" si="28"/>
        <v>0</v>
      </c>
      <c r="AS30">
        <f t="shared" si="29"/>
        <v>0</v>
      </c>
      <c r="AT30">
        <f t="shared" si="30"/>
        <v>0</v>
      </c>
    </row>
    <row r="31" spans="1:46" ht="20.100000000000001" customHeight="1">
      <c r="A31" s="38" t="s">
        <v>370</v>
      </c>
      <c r="B31" s="38" t="s">
        <v>371</v>
      </c>
      <c r="C31" s="40" t="s">
        <v>372</v>
      </c>
      <c r="D31" s="47">
        <v>7</v>
      </c>
      <c r="E31" s="47"/>
      <c r="F31" s="47"/>
      <c r="G31" s="47"/>
      <c r="H31" s="47"/>
      <c r="I31" s="47"/>
      <c r="J31" s="47"/>
      <c r="K31" s="47">
        <f t="shared" si="0"/>
        <v>0</v>
      </c>
      <c r="L31" s="41"/>
      <c r="N31" t="str">
        <f t="shared" si="31"/>
        <v>01</v>
      </c>
      <c r="O31" s="1" t="s">
        <v>59</v>
      </c>
      <c r="P31">
        <v>1</v>
      </c>
      <c r="Q31">
        <f t="shared" si="1"/>
        <v>0</v>
      </c>
      <c r="R31">
        <f t="shared" si="2"/>
        <v>0</v>
      </c>
      <c r="S31">
        <f t="shared" si="3"/>
        <v>0</v>
      </c>
      <c r="T31">
        <f t="shared" si="4"/>
        <v>0</v>
      </c>
      <c r="U31">
        <f t="shared" si="5"/>
        <v>0</v>
      </c>
      <c r="V31">
        <f t="shared" si="6"/>
        <v>0</v>
      </c>
      <c r="W31">
        <f t="shared" si="7"/>
        <v>0</v>
      </c>
      <c r="X31">
        <f t="shared" si="8"/>
        <v>0</v>
      </c>
      <c r="Y31">
        <f t="shared" si="9"/>
        <v>0</v>
      </c>
      <c r="Z31">
        <f t="shared" si="10"/>
        <v>0</v>
      </c>
      <c r="AA31">
        <f t="shared" si="11"/>
        <v>0</v>
      </c>
      <c r="AB31">
        <f t="shared" si="12"/>
        <v>0</v>
      </c>
      <c r="AC31">
        <f t="shared" si="13"/>
        <v>0</v>
      </c>
      <c r="AD31">
        <f t="shared" si="14"/>
        <v>0</v>
      </c>
      <c r="AE31">
        <f t="shared" si="15"/>
        <v>0</v>
      </c>
      <c r="AF31">
        <f t="shared" si="16"/>
        <v>0</v>
      </c>
      <c r="AG31">
        <f t="shared" si="17"/>
        <v>0</v>
      </c>
      <c r="AH31">
        <f t="shared" si="18"/>
        <v>0</v>
      </c>
      <c r="AI31">
        <f t="shared" si="19"/>
        <v>0</v>
      </c>
      <c r="AJ31">
        <f t="shared" si="20"/>
        <v>0</v>
      </c>
      <c r="AK31">
        <f t="shared" si="21"/>
        <v>0</v>
      </c>
      <c r="AL31">
        <f t="shared" si="22"/>
        <v>0</v>
      </c>
      <c r="AM31">
        <f t="shared" si="23"/>
        <v>0</v>
      </c>
      <c r="AN31">
        <f t="shared" si="24"/>
        <v>0</v>
      </c>
      <c r="AO31">
        <f t="shared" si="25"/>
        <v>0</v>
      </c>
      <c r="AP31">
        <f t="shared" si="26"/>
        <v>0</v>
      </c>
      <c r="AQ31">
        <f t="shared" si="27"/>
        <v>0</v>
      </c>
      <c r="AR31">
        <f t="shared" si="28"/>
        <v>0</v>
      </c>
      <c r="AS31">
        <f t="shared" si="29"/>
        <v>0</v>
      </c>
      <c r="AT31">
        <f t="shared" si="30"/>
        <v>0</v>
      </c>
    </row>
    <row r="32" spans="1:46" ht="20.100000000000001" customHeight="1">
      <c r="A32" s="38" t="s">
        <v>367</v>
      </c>
      <c r="B32" s="38" t="s">
        <v>368</v>
      </c>
      <c r="C32" s="40" t="s">
        <v>27</v>
      </c>
      <c r="D32" s="47">
        <v>7</v>
      </c>
      <c r="E32" s="47"/>
      <c r="F32" s="47"/>
      <c r="G32" s="47"/>
      <c r="H32" s="47"/>
      <c r="I32" s="47"/>
      <c r="J32" s="47"/>
      <c r="K32" s="47">
        <f t="shared" si="0"/>
        <v>0</v>
      </c>
      <c r="L32" s="41"/>
      <c r="N32" t="str">
        <f t="shared" si="31"/>
        <v>01</v>
      </c>
      <c r="O32" s="1" t="s">
        <v>59</v>
      </c>
      <c r="P32">
        <v>1</v>
      </c>
      <c r="Q32">
        <f t="shared" si="1"/>
        <v>0</v>
      </c>
      <c r="R32">
        <f t="shared" si="2"/>
        <v>0</v>
      </c>
      <c r="S32">
        <f t="shared" si="3"/>
        <v>0</v>
      </c>
      <c r="T32">
        <f t="shared" si="4"/>
        <v>0</v>
      </c>
      <c r="U32">
        <f t="shared" si="5"/>
        <v>0</v>
      </c>
      <c r="V32">
        <f t="shared" si="6"/>
        <v>0</v>
      </c>
      <c r="W32">
        <f t="shared" si="7"/>
        <v>0</v>
      </c>
      <c r="X32">
        <f t="shared" si="8"/>
        <v>0</v>
      </c>
      <c r="Y32">
        <f t="shared" si="9"/>
        <v>0</v>
      </c>
      <c r="Z32">
        <f t="shared" si="10"/>
        <v>0</v>
      </c>
      <c r="AA32">
        <f t="shared" si="11"/>
        <v>0</v>
      </c>
      <c r="AB32">
        <f t="shared" si="12"/>
        <v>0</v>
      </c>
      <c r="AC32">
        <f t="shared" si="13"/>
        <v>0</v>
      </c>
      <c r="AD32">
        <f t="shared" si="14"/>
        <v>0</v>
      </c>
      <c r="AE32">
        <f t="shared" si="15"/>
        <v>0</v>
      </c>
      <c r="AF32">
        <f t="shared" si="16"/>
        <v>0</v>
      </c>
      <c r="AG32">
        <f t="shared" si="17"/>
        <v>0</v>
      </c>
      <c r="AH32">
        <f t="shared" si="18"/>
        <v>0</v>
      </c>
      <c r="AI32">
        <f t="shared" si="19"/>
        <v>0</v>
      </c>
      <c r="AJ32">
        <f t="shared" si="20"/>
        <v>0</v>
      </c>
      <c r="AK32">
        <f t="shared" si="21"/>
        <v>0</v>
      </c>
      <c r="AL32">
        <f t="shared" si="22"/>
        <v>0</v>
      </c>
      <c r="AM32">
        <f t="shared" si="23"/>
        <v>0</v>
      </c>
      <c r="AN32">
        <f t="shared" si="24"/>
        <v>0</v>
      </c>
      <c r="AO32">
        <f t="shared" si="25"/>
        <v>0</v>
      </c>
      <c r="AP32">
        <f t="shared" si="26"/>
        <v>0</v>
      </c>
      <c r="AQ32">
        <f t="shared" si="27"/>
        <v>0</v>
      </c>
      <c r="AR32">
        <f t="shared" si="28"/>
        <v>0</v>
      </c>
      <c r="AS32">
        <f t="shared" si="29"/>
        <v>0</v>
      </c>
      <c r="AT32">
        <f t="shared" si="30"/>
        <v>0</v>
      </c>
    </row>
    <row r="33" spans="1:50" ht="20.100000000000001" customHeight="1">
      <c r="A33" s="38" t="s">
        <v>415</v>
      </c>
      <c r="B33" s="38" t="s">
        <v>337</v>
      </c>
      <c r="C33" s="40" t="s">
        <v>416</v>
      </c>
      <c r="D33" s="47">
        <v>22</v>
      </c>
      <c r="E33" s="47"/>
      <c r="F33" s="47"/>
      <c r="G33" s="47"/>
      <c r="H33" s="47"/>
      <c r="I33" s="47"/>
      <c r="J33" s="47"/>
      <c r="K33" s="47">
        <f t="shared" si="0"/>
        <v>0</v>
      </c>
      <c r="L33" s="51" t="s">
        <v>414</v>
      </c>
      <c r="N33" t="str">
        <f>""</f>
        <v/>
      </c>
      <c r="O33" s="1" t="s">
        <v>59</v>
      </c>
      <c r="P33">
        <v>1</v>
      </c>
      <c r="Q33">
        <f t="shared" si="1"/>
        <v>0</v>
      </c>
      <c r="R33">
        <f t="shared" si="2"/>
        <v>0</v>
      </c>
      <c r="S33">
        <f t="shared" si="3"/>
        <v>0</v>
      </c>
      <c r="T33">
        <f t="shared" si="4"/>
        <v>0</v>
      </c>
      <c r="U33">
        <f t="shared" si="5"/>
        <v>0</v>
      </c>
      <c r="V33">
        <f t="shared" si="6"/>
        <v>0</v>
      </c>
      <c r="W33">
        <f t="shared" si="7"/>
        <v>0</v>
      </c>
      <c r="X33">
        <f t="shared" si="8"/>
        <v>0</v>
      </c>
      <c r="Y33">
        <f t="shared" si="9"/>
        <v>0</v>
      </c>
      <c r="Z33">
        <f t="shared" si="10"/>
        <v>0</v>
      </c>
      <c r="AA33">
        <f t="shared" si="11"/>
        <v>0</v>
      </c>
      <c r="AB33">
        <f t="shared" si="12"/>
        <v>0</v>
      </c>
      <c r="AC33">
        <f t="shared" si="13"/>
        <v>0</v>
      </c>
      <c r="AD33">
        <f t="shared" si="14"/>
        <v>0</v>
      </c>
      <c r="AE33">
        <f t="shared" si="15"/>
        <v>0</v>
      </c>
      <c r="AF33">
        <f t="shared" si="16"/>
        <v>0</v>
      </c>
      <c r="AG33">
        <f t="shared" si="17"/>
        <v>0</v>
      </c>
      <c r="AH33">
        <f t="shared" si="18"/>
        <v>0</v>
      </c>
      <c r="AI33">
        <f t="shared" si="19"/>
        <v>0</v>
      </c>
      <c r="AJ33">
        <f t="shared" si="20"/>
        <v>0</v>
      </c>
      <c r="AK33">
        <f t="shared" si="21"/>
        <v>0</v>
      </c>
      <c r="AL33">
        <f t="shared" si="22"/>
        <v>0</v>
      </c>
      <c r="AM33">
        <f t="shared" si="23"/>
        <v>0</v>
      </c>
      <c r="AN33">
        <f t="shared" si="24"/>
        <v>0</v>
      </c>
      <c r="AO33">
        <f t="shared" si="25"/>
        <v>0</v>
      </c>
      <c r="AP33">
        <f t="shared" si="26"/>
        <v>0</v>
      </c>
      <c r="AQ33">
        <f t="shared" si="27"/>
        <v>0</v>
      </c>
      <c r="AR33">
        <f t="shared" si="28"/>
        <v>0</v>
      </c>
      <c r="AS33">
        <f t="shared" si="29"/>
        <v>0</v>
      </c>
      <c r="AT33">
        <f t="shared" si="30"/>
        <v>0</v>
      </c>
    </row>
    <row r="34" spans="1:50" ht="20.100000000000001" customHeight="1">
      <c r="A34" s="38" t="s">
        <v>319</v>
      </c>
      <c r="B34" s="39"/>
      <c r="C34" s="40" t="s">
        <v>23</v>
      </c>
      <c r="D34" s="47">
        <v>823</v>
      </c>
      <c r="E34" s="47"/>
      <c r="F34" s="47"/>
      <c r="G34" s="47"/>
      <c r="H34" s="47"/>
      <c r="I34" s="47"/>
      <c r="J34" s="47"/>
      <c r="K34" s="47">
        <f t="shared" si="0"/>
        <v>0</v>
      </c>
      <c r="L34" s="51" t="s">
        <v>318</v>
      </c>
      <c r="N34" t="str">
        <f>""</f>
        <v/>
      </c>
      <c r="O34" s="1" t="s">
        <v>59</v>
      </c>
      <c r="P34">
        <v>1</v>
      </c>
      <c r="Q34">
        <f t="shared" si="1"/>
        <v>0</v>
      </c>
      <c r="R34">
        <f t="shared" si="2"/>
        <v>0</v>
      </c>
      <c r="S34">
        <f t="shared" si="3"/>
        <v>0</v>
      </c>
      <c r="T34">
        <f t="shared" si="4"/>
        <v>0</v>
      </c>
      <c r="U34">
        <f t="shared" si="5"/>
        <v>0</v>
      </c>
      <c r="V34">
        <f t="shared" si="6"/>
        <v>0</v>
      </c>
      <c r="W34">
        <f t="shared" si="7"/>
        <v>0</v>
      </c>
      <c r="X34">
        <f t="shared" si="8"/>
        <v>0</v>
      </c>
      <c r="Y34">
        <f t="shared" si="9"/>
        <v>0</v>
      </c>
      <c r="Z34">
        <f t="shared" si="10"/>
        <v>0</v>
      </c>
      <c r="AA34">
        <f t="shared" si="11"/>
        <v>0</v>
      </c>
      <c r="AB34">
        <f t="shared" si="12"/>
        <v>0</v>
      </c>
      <c r="AC34">
        <f t="shared" si="13"/>
        <v>0</v>
      </c>
      <c r="AD34">
        <f t="shared" si="14"/>
        <v>0</v>
      </c>
      <c r="AE34">
        <f t="shared" si="15"/>
        <v>0</v>
      </c>
      <c r="AF34">
        <f t="shared" si="16"/>
        <v>0</v>
      </c>
      <c r="AG34">
        <f t="shared" si="17"/>
        <v>0</v>
      </c>
      <c r="AH34">
        <f t="shared" si="18"/>
        <v>0</v>
      </c>
      <c r="AI34">
        <f t="shared" si="19"/>
        <v>0</v>
      </c>
      <c r="AJ34">
        <f t="shared" si="20"/>
        <v>0</v>
      </c>
      <c r="AK34">
        <f t="shared" si="21"/>
        <v>0</v>
      </c>
      <c r="AL34">
        <f t="shared" si="22"/>
        <v>0</v>
      </c>
      <c r="AM34">
        <f t="shared" si="23"/>
        <v>0</v>
      </c>
      <c r="AN34">
        <f t="shared" si="24"/>
        <v>0</v>
      </c>
      <c r="AO34">
        <f t="shared" si="25"/>
        <v>0</v>
      </c>
      <c r="AP34">
        <f t="shared" si="26"/>
        <v>0</v>
      </c>
      <c r="AQ34">
        <f t="shared" si="27"/>
        <v>0</v>
      </c>
      <c r="AR34">
        <f t="shared" si="28"/>
        <v>0</v>
      </c>
      <c r="AS34">
        <f t="shared" si="29"/>
        <v>0</v>
      </c>
      <c r="AT34">
        <f t="shared" si="30"/>
        <v>0</v>
      </c>
    </row>
    <row r="35" spans="1:50" ht="20.100000000000001" customHeight="1">
      <c r="A35" s="38" t="s">
        <v>421</v>
      </c>
      <c r="B35" s="38" t="s">
        <v>422</v>
      </c>
      <c r="C35" s="40" t="s">
        <v>423</v>
      </c>
      <c r="D35" s="47">
        <v>491</v>
      </c>
      <c r="E35" s="47"/>
      <c r="F35" s="47"/>
      <c r="G35" s="47"/>
      <c r="H35" s="47"/>
      <c r="I35" s="47"/>
      <c r="J35" s="47"/>
      <c r="K35" s="47">
        <f t="shared" si="0"/>
        <v>0</v>
      </c>
      <c r="L35" s="51" t="s">
        <v>420</v>
      </c>
      <c r="N35" t="str">
        <f>""</f>
        <v/>
      </c>
      <c r="O35" s="1" t="s">
        <v>59</v>
      </c>
      <c r="P35">
        <v>1</v>
      </c>
      <c r="Q35">
        <f t="shared" si="1"/>
        <v>0</v>
      </c>
      <c r="R35">
        <f t="shared" si="2"/>
        <v>0</v>
      </c>
      <c r="S35">
        <f t="shared" si="3"/>
        <v>0</v>
      </c>
      <c r="T35">
        <f t="shared" si="4"/>
        <v>0</v>
      </c>
      <c r="U35">
        <f t="shared" si="5"/>
        <v>0</v>
      </c>
      <c r="V35">
        <f t="shared" si="6"/>
        <v>0</v>
      </c>
      <c r="W35">
        <f t="shared" si="7"/>
        <v>0</v>
      </c>
      <c r="X35">
        <f t="shared" si="8"/>
        <v>0</v>
      </c>
      <c r="Y35">
        <f t="shared" si="9"/>
        <v>0</v>
      </c>
      <c r="Z35">
        <f t="shared" si="10"/>
        <v>0</v>
      </c>
      <c r="AA35">
        <f t="shared" si="11"/>
        <v>0</v>
      </c>
      <c r="AB35">
        <f t="shared" si="12"/>
        <v>0</v>
      </c>
      <c r="AC35">
        <f t="shared" si="13"/>
        <v>0</v>
      </c>
      <c r="AD35">
        <f t="shared" si="14"/>
        <v>0</v>
      </c>
      <c r="AE35">
        <f t="shared" si="15"/>
        <v>0</v>
      </c>
      <c r="AF35">
        <f t="shared" si="16"/>
        <v>0</v>
      </c>
      <c r="AG35">
        <f t="shared" si="17"/>
        <v>0</v>
      </c>
      <c r="AH35">
        <f t="shared" si="18"/>
        <v>0</v>
      </c>
      <c r="AI35">
        <f t="shared" si="19"/>
        <v>0</v>
      </c>
      <c r="AJ35">
        <f t="shared" si="20"/>
        <v>0</v>
      </c>
      <c r="AK35">
        <f t="shared" si="21"/>
        <v>0</v>
      </c>
      <c r="AL35">
        <f t="shared" si="22"/>
        <v>0</v>
      </c>
      <c r="AM35">
        <f t="shared" si="23"/>
        <v>0</v>
      </c>
      <c r="AN35">
        <f t="shared" si="24"/>
        <v>0</v>
      </c>
      <c r="AO35">
        <f t="shared" si="25"/>
        <v>0</v>
      </c>
      <c r="AP35">
        <f t="shared" si="26"/>
        <v>0</v>
      </c>
      <c r="AQ35">
        <f t="shared" si="27"/>
        <v>0</v>
      </c>
      <c r="AR35">
        <f t="shared" si="28"/>
        <v>0</v>
      </c>
      <c r="AS35">
        <f t="shared" si="29"/>
        <v>0</v>
      </c>
      <c r="AT35">
        <f t="shared" si="30"/>
        <v>0</v>
      </c>
    </row>
    <row r="36" spans="1:50" ht="20.100000000000001" customHeight="1">
      <c r="A36" s="38" t="s">
        <v>321</v>
      </c>
      <c r="B36" s="38" t="s">
        <v>322</v>
      </c>
      <c r="C36" s="40" t="s">
        <v>315</v>
      </c>
      <c r="D36" s="47">
        <v>147</v>
      </c>
      <c r="E36" s="47"/>
      <c r="F36" s="47"/>
      <c r="G36" s="47"/>
      <c r="H36" s="47"/>
      <c r="I36" s="47"/>
      <c r="J36" s="47"/>
      <c r="K36" s="47">
        <f t="shared" si="0"/>
        <v>0</v>
      </c>
      <c r="L36" s="51" t="s">
        <v>320</v>
      </c>
      <c r="N36" t="str">
        <f>""</f>
        <v/>
      </c>
      <c r="O36" s="1" t="s">
        <v>59</v>
      </c>
      <c r="P36">
        <v>1</v>
      </c>
      <c r="Q36">
        <f t="shared" si="1"/>
        <v>0</v>
      </c>
      <c r="R36">
        <f t="shared" si="2"/>
        <v>0</v>
      </c>
      <c r="S36">
        <f t="shared" si="3"/>
        <v>0</v>
      </c>
      <c r="T36">
        <f t="shared" si="4"/>
        <v>0</v>
      </c>
      <c r="U36">
        <f t="shared" si="5"/>
        <v>0</v>
      </c>
      <c r="V36">
        <f t="shared" si="6"/>
        <v>0</v>
      </c>
      <c r="W36">
        <f t="shared" si="7"/>
        <v>0</v>
      </c>
      <c r="X36">
        <f t="shared" si="8"/>
        <v>0</v>
      </c>
      <c r="Y36">
        <f t="shared" si="9"/>
        <v>0</v>
      </c>
      <c r="Z36">
        <f t="shared" si="10"/>
        <v>0</v>
      </c>
      <c r="AA36">
        <f t="shared" si="11"/>
        <v>0</v>
      </c>
      <c r="AB36">
        <f t="shared" si="12"/>
        <v>0</v>
      </c>
      <c r="AC36">
        <f t="shared" si="13"/>
        <v>0</v>
      </c>
      <c r="AD36">
        <f t="shared" si="14"/>
        <v>0</v>
      </c>
      <c r="AE36">
        <f t="shared" si="15"/>
        <v>0</v>
      </c>
      <c r="AF36">
        <f t="shared" si="16"/>
        <v>0</v>
      </c>
      <c r="AG36">
        <f t="shared" si="17"/>
        <v>0</v>
      </c>
      <c r="AH36">
        <f t="shared" si="18"/>
        <v>0</v>
      </c>
      <c r="AI36">
        <f t="shared" si="19"/>
        <v>0</v>
      </c>
      <c r="AJ36">
        <f t="shared" si="20"/>
        <v>0</v>
      </c>
      <c r="AK36">
        <f t="shared" si="21"/>
        <v>0</v>
      </c>
      <c r="AL36">
        <f t="shared" si="22"/>
        <v>0</v>
      </c>
      <c r="AM36">
        <f t="shared" si="23"/>
        <v>0</v>
      </c>
      <c r="AN36">
        <f t="shared" si="24"/>
        <v>0</v>
      </c>
      <c r="AO36">
        <f t="shared" si="25"/>
        <v>0</v>
      </c>
      <c r="AP36">
        <f t="shared" si="26"/>
        <v>0</v>
      </c>
      <c r="AQ36">
        <f t="shared" si="27"/>
        <v>0</v>
      </c>
      <c r="AR36">
        <f t="shared" si="28"/>
        <v>0</v>
      </c>
      <c r="AS36">
        <f t="shared" si="29"/>
        <v>0</v>
      </c>
      <c r="AT36">
        <f t="shared" si="30"/>
        <v>0</v>
      </c>
    </row>
    <row r="37" spans="1:50" ht="20.100000000000001" customHeight="1">
      <c r="A37" s="38" t="s">
        <v>357</v>
      </c>
      <c r="B37" s="38" t="s">
        <v>358</v>
      </c>
      <c r="C37" s="40" t="s">
        <v>359</v>
      </c>
      <c r="D37" s="47">
        <v>147</v>
      </c>
      <c r="E37" s="47"/>
      <c r="F37" s="47"/>
      <c r="G37" s="47"/>
      <c r="H37" s="47"/>
      <c r="I37" s="47"/>
      <c r="J37" s="47"/>
      <c r="K37" s="47">
        <f t="shared" si="0"/>
        <v>0</v>
      </c>
      <c r="L37" s="41"/>
      <c r="N37" t="str">
        <f>"01"</f>
        <v>01</v>
      </c>
      <c r="O37" s="1" t="s">
        <v>59</v>
      </c>
      <c r="P37">
        <v>1</v>
      </c>
      <c r="Q37">
        <f t="shared" si="1"/>
        <v>0</v>
      </c>
      <c r="R37">
        <f t="shared" si="2"/>
        <v>0</v>
      </c>
      <c r="S37">
        <f t="shared" si="3"/>
        <v>0</v>
      </c>
      <c r="T37">
        <f t="shared" si="4"/>
        <v>0</v>
      </c>
      <c r="U37">
        <f t="shared" si="5"/>
        <v>0</v>
      </c>
      <c r="V37">
        <f t="shared" si="6"/>
        <v>0</v>
      </c>
      <c r="W37">
        <f t="shared" si="7"/>
        <v>0</v>
      </c>
      <c r="X37">
        <f t="shared" si="8"/>
        <v>0</v>
      </c>
      <c r="Y37">
        <f t="shared" si="9"/>
        <v>0</v>
      </c>
      <c r="Z37">
        <f t="shared" si="10"/>
        <v>0</v>
      </c>
      <c r="AA37">
        <f t="shared" si="11"/>
        <v>0</v>
      </c>
      <c r="AB37">
        <f t="shared" si="12"/>
        <v>0</v>
      </c>
      <c r="AC37">
        <f t="shared" si="13"/>
        <v>0</v>
      </c>
      <c r="AD37">
        <f t="shared" si="14"/>
        <v>0</v>
      </c>
      <c r="AE37">
        <f t="shared" si="15"/>
        <v>0</v>
      </c>
      <c r="AF37">
        <f t="shared" si="16"/>
        <v>0</v>
      </c>
      <c r="AG37">
        <f t="shared" si="17"/>
        <v>0</v>
      </c>
      <c r="AH37">
        <f t="shared" si="18"/>
        <v>0</v>
      </c>
      <c r="AI37">
        <f t="shared" si="19"/>
        <v>0</v>
      </c>
      <c r="AJ37">
        <f t="shared" si="20"/>
        <v>0</v>
      </c>
      <c r="AK37">
        <f t="shared" si="21"/>
        <v>0</v>
      </c>
      <c r="AL37">
        <f t="shared" si="22"/>
        <v>0</v>
      </c>
      <c r="AM37">
        <f t="shared" si="23"/>
        <v>0</v>
      </c>
      <c r="AN37">
        <f t="shared" si="24"/>
        <v>0</v>
      </c>
      <c r="AO37">
        <f t="shared" si="25"/>
        <v>0</v>
      </c>
      <c r="AP37">
        <f t="shared" si="26"/>
        <v>0</v>
      </c>
      <c r="AQ37">
        <f t="shared" si="27"/>
        <v>0</v>
      </c>
      <c r="AR37">
        <f t="shared" si="28"/>
        <v>0</v>
      </c>
      <c r="AS37">
        <f t="shared" si="29"/>
        <v>0</v>
      </c>
      <c r="AT37">
        <f t="shared" si="30"/>
        <v>0</v>
      </c>
    </row>
    <row r="38" spans="1:50" ht="20.100000000000001" customHeight="1">
      <c r="A38" s="38" t="s">
        <v>317</v>
      </c>
      <c r="B38" s="38" t="s">
        <v>314</v>
      </c>
      <c r="C38" s="40" t="s">
        <v>315</v>
      </c>
      <c r="D38" s="47">
        <v>573</v>
      </c>
      <c r="E38" s="47"/>
      <c r="F38" s="47"/>
      <c r="G38" s="47"/>
      <c r="H38" s="47"/>
      <c r="I38" s="47"/>
      <c r="J38" s="47"/>
      <c r="K38" s="47">
        <f t="shared" si="0"/>
        <v>0</v>
      </c>
      <c r="L38" s="51" t="s">
        <v>316</v>
      </c>
      <c r="N38" t="str">
        <f>""</f>
        <v/>
      </c>
      <c r="O38" s="1" t="s">
        <v>59</v>
      </c>
      <c r="P38">
        <v>1</v>
      </c>
      <c r="Q38">
        <f t="shared" si="1"/>
        <v>0</v>
      </c>
      <c r="R38">
        <f t="shared" si="2"/>
        <v>0</v>
      </c>
      <c r="S38">
        <f t="shared" si="3"/>
        <v>0</v>
      </c>
      <c r="T38">
        <f t="shared" si="4"/>
        <v>0</v>
      </c>
      <c r="U38">
        <f t="shared" si="5"/>
        <v>0</v>
      </c>
      <c r="V38">
        <f t="shared" si="6"/>
        <v>0</v>
      </c>
      <c r="W38">
        <f t="shared" si="7"/>
        <v>0</v>
      </c>
      <c r="X38">
        <f t="shared" si="8"/>
        <v>0</v>
      </c>
      <c r="Y38">
        <f t="shared" si="9"/>
        <v>0</v>
      </c>
      <c r="Z38">
        <f t="shared" si="10"/>
        <v>0</v>
      </c>
      <c r="AA38">
        <f t="shared" si="11"/>
        <v>0</v>
      </c>
      <c r="AB38">
        <f t="shared" si="12"/>
        <v>0</v>
      </c>
      <c r="AC38">
        <f t="shared" si="13"/>
        <v>0</v>
      </c>
      <c r="AD38">
        <f t="shared" si="14"/>
        <v>0</v>
      </c>
      <c r="AE38">
        <f t="shared" si="15"/>
        <v>0</v>
      </c>
      <c r="AF38">
        <f t="shared" si="16"/>
        <v>0</v>
      </c>
      <c r="AG38">
        <f t="shared" si="17"/>
        <v>0</v>
      </c>
      <c r="AH38">
        <f t="shared" si="18"/>
        <v>0</v>
      </c>
      <c r="AI38">
        <f t="shared" si="19"/>
        <v>0</v>
      </c>
      <c r="AJ38">
        <f t="shared" si="20"/>
        <v>0</v>
      </c>
      <c r="AK38">
        <f t="shared" si="21"/>
        <v>0</v>
      </c>
      <c r="AL38">
        <f t="shared" si="22"/>
        <v>0</v>
      </c>
      <c r="AM38">
        <f t="shared" si="23"/>
        <v>0</v>
      </c>
      <c r="AN38">
        <f t="shared" si="24"/>
        <v>0</v>
      </c>
      <c r="AO38">
        <f t="shared" si="25"/>
        <v>0</v>
      </c>
      <c r="AP38">
        <f t="shared" si="26"/>
        <v>0</v>
      </c>
      <c r="AQ38">
        <f t="shared" si="27"/>
        <v>0</v>
      </c>
      <c r="AR38">
        <f t="shared" si="28"/>
        <v>0</v>
      </c>
      <c r="AS38">
        <f t="shared" si="29"/>
        <v>0</v>
      </c>
      <c r="AT38">
        <f t="shared" si="30"/>
        <v>0</v>
      </c>
    </row>
    <row r="39" spans="1:50" ht="20.100000000000001" customHeight="1">
      <c r="A39" s="38" t="s">
        <v>313</v>
      </c>
      <c r="B39" s="38" t="s">
        <v>314</v>
      </c>
      <c r="C39" s="40" t="s">
        <v>315</v>
      </c>
      <c r="D39" s="47">
        <v>573</v>
      </c>
      <c r="E39" s="47"/>
      <c r="F39" s="47"/>
      <c r="G39" s="47"/>
      <c r="H39" s="47"/>
      <c r="I39" s="47"/>
      <c r="J39" s="47"/>
      <c r="K39" s="47">
        <f t="shared" si="0"/>
        <v>0</v>
      </c>
      <c r="L39" s="51" t="s">
        <v>312</v>
      </c>
      <c r="N39" t="str">
        <f>""</f>
        <v/>
      </c>
      <c r="O39" s="1" t="s">
        <v>59</v>
      </c>
      <c r="P39">
        <v>1</v>
      </c>
      <c r="Q39">
        <f t="shared" si="1"/>
        <v>0</v>
      </c>
      <c r="R39">
        <f t="shared" si="2"/>
        <v>0</v>
      </c>
      <c r="S39">
        <f t="shared" si="3"/>
        <v>0</v>
      </c>
      <c r="T39">
        <f t="shared" si="4"/>
        <v>0</v>
      </c>
      <c r="U39">
        <f t="shared" si="5"/>
        <v>0</v>
      </c>
      <c r="V39">
        <f t="shared" si="6"/>
        <v>0</v>
      </c>
      <c r="W39">
        <f t="shared" si="7"/>
        <v>0</v>
      </c>
      <c r="X39">
        <f t="shared" si="8"/>
        <v>0</v>
      </c>
      <c r="Y39">
        <f t="shared" si="9"/>
        <v>0</v>
      </c>
      <c r="Z39">
        <f t="shared" si="10"/>
        <v>0</v>
      </c>
      <c r="AA39">
        <f t="shared" si="11"/>
        <v>0</v>
      </c>
      <c r="AB39">
        <f t="shared" si="12"/>
        <v>0</v>
      </c>
      <c r="AC39">
        <f t="shared" si="13"/>
        <v>0</v>
      </c>
      <c r="AD39">
        <f t="shared" si="14"/>
        <v>0</v>
      </c>
      <c r="AE39">
        <f t="shared" si="15"/>
        <v>0</v>
      </c>
      <c r="AF39">
        <f t="shared" si="16"/>
        <v>0</v>
      </c>
      <c r="AG39">
        <f t="shared" si="17"/>
        <v>0</v>
      </c>
      <c r="AH39">
        <f t="shared" si="18"/>
        <v>0</v>
      </c>
      <c r="AI39">
        <f t="shared" si="19"/>
        <v>0</v>
      </c>
      <c r="AJ39">
        <f t="shared" si="20"/>
        <v>0</v>
      </c>
      <c r="AK39">
        <f t="shared" si="21"/>
        <v>0</v>
      </c>
      <c r="AL39">
        <f t="shared" si="22"/>
        <v>0</v>
      </c>
      <c r="AM39">
        <f t="shared" si="23"/>
        <v>0</v>
      </c>
      <c r="AN39">
        <f t="shared" si="24"/>
        <v>0</v>
      </c>
      <c r="AO39">
        <f t="shared" si="25"/>
        <v>0</v>
      </c>
      <c r="AP39">
        <f t="shared" si="26"/>
        <v>0</v>
      </c>
      <c r="AQ39">
        <f t="shared" si="27"/>
        <v>0</v>
      </c>
      <c r="AR39">
        <f t="shared" si="28"/>
        <v>0</v>
      </c>
      <c r="AS39">
        <f t="shared" si="29"/>
        <v>0</v>
      </c>
      <c r="AT39">
        <f t="shared" si="30"/>
        <v>0</v>
      </c>
    </row>
    <row r="40" spans="1:50" ht="20.100000000000001" customHeight="1">
      <c r="A40" s="38" t="s">
        <v>73</v>
      </c>
      <c r="B40" s="38" t="s">
        <v>20</v>
      </c>
      <c r="C40" s="40" t="s">
        <v>75</v>
      </c>
      <c r="D40" s="47">
        <f>공량산출서!G25</f>
        <v>0</v>
      </c>
      <c r="E40" s="47"/>
      <c r="F40" s="47"/>
      <c r="G40" s="47"/>
      <c r="H40" s="47"/>
      <c r="I40" s="47"/>
      <c r="J40" s="47"/>
      <c r="K40" s="47">
        <f t="shared" si="0"/>
        <v>0</v>
      </c>
      <c r="L40" s="41"/>
      <c r="N40" t="str">
        <f>"02"</f>
        <v>02</v>
      </c>
      <c r="O40" s="1" t="s">
        <v>59</v>
      </c>
      <c r="P40">
        <v>1</v>
      </c>
      <c r="Q40">
        <f t="shared" si="1"/>
        <v>0</v>
      </c>
      <c r="R40">
        <f t="shared" si="2"/>
        <v>0</v>
      </c>
      <c r="S40">
        <f t="shared" si="3"/>
        <v>0</v>
      </c>
      <c r="T40">
        <f t="shared" si="4"/>
        <v>0</v>
      </c>
      <c r="U40">
        <f t="shared" si="5"/>
        <v>0</v>
      </c>
      <c r="V40">
        <f t="shared" si="6"/>
        <v>0</v>
      </c>
      <c r="W40">
        <f t="shared" si="7"/>
        <v>0</v>
      </c>
      <c r="X40">
        <f t="shared" si="8"/>
        <v>0</v>
      </c>
      <c r="Y40">
        <f t="shared" si="9"/>
        <v>0</v>
      </c>
      <c r="Z40">
        <f t="shared" si="10"/>
        <v>0</v>
      </c>
      <c r="AA40">
        <f t="shared" si="11"/>
        <v>0</v>
      </c>
      <c r="AB40">
        <f t="shared" si="12"/>
        <v>0</v>
      </c>
      <c r="AC40">
        <f t="shared" si="13"/>
        <v>0</v>
      </c>
      <c r="AD40">
        <f t="shared" si="14"/>
        <v>0</v>
      </c>
      <c r="AE40">
        <f t="shared" si="15"/>
        <v>0</v>
      </c>
      <c r="AF40">
        <f t="shared" si="16"/>
        <v>0</v>
      </c>
      <c r="AG40">
        <f t="shared" si="17"/>
        <v>0</v>
      </c>
      <c r="AH40">
        <f t="shared" si="18"/>
        <v>0</v>
      </c>
      <c r="AI40">
        <f t="shared" si="19"/>
        <v>0</v>
      </c>
      <c r="AJ40">
        <f t="shared" si="20"/>
        <v>0</v>
      </c>
      <c r="AK40">
        <f t="shared" si="21"/>
        <v>0</v>
      </c>
      <c r="AL40">
        <f t="shared" si="22"/>
        <v>0</v>
      </c>
      <c r="AM40">
        <f t="shared" si="23"/>
        <v>0</v>
      </c>
      <c r="AN40">
        <f t="shared" si="24"/>
        <v>0</v>
      </c>
      <c r="AO40">
        <f t="shared" si="25"/>
        <v>0</v>
      </c>
      <c r="AP40">
        <f t="shared" si="26"/>
        <v>0</v>
      </c>
      <c r="AQ40">
        <f t="shared" si="27"/>
        <v>0</v>
      </c>
      <c r="AR40">
        <f t="shared" si="28"/>
        <v>0</v>
      </c>
      <c r="AS40">
        <f t="shared" si="29"/>
        <v>0</v>
      </c>
      <c r="AT40">
        <f t="shared" si="30"/>
        <v>0</v>
      </c>
    </row>
    <row r="41" spans="1:50" ht="20.100000000000001" customHeight="1">
      <c r="A41" s="38" t="s">
        <v>73</v>
      </c>
      <c r="B41" s="38" t="s">
        <v>21</v>
      </c>
      <c r="C41" s="40" t="s">
        <v>75</v>
      </c>
      <c r="D41" s="47">
        <f>공량산출서!H25</f>
        <v>0</v>
      </c>
      <c r="E41" s="47"/>
      <c r="F41" s="47"/>
      <c r="G41" s="47"/>
      <c r="H41" s="47"/>
      <c r="I41" s="47"/>
      <c r="J41" s="47"/>
      <c r="K41" s="47">
        <f t="shared" si="0"/>
        <v>0</v>
      </c>
      <c r="L41" s="41"/>
      <c r="N41" t="str">
        <f>"02"</f>
        <v>02</v>
      </c>
      <c r="O41" s="1" t="s">
        <v>59</v>
      </c>
      <c r="P41">
        <v>1</v>
      </c>
      <c r="Q41">
        <f t="shared" si="1"/>
        <v>0</v>
      </c>
      <c r="R41">
        <f t="shared" si="2"/>
        <v>0</v>
      </c>
      <c r="S41">
        <f t="shared" si="3"/>
        <v>0</v>
      </c>
      <c r="T41">
        <f t="shared" si="4"/>
        <v>0</v>
      </c>
      <c r="U41">
        <f t="shared" si="5"/>
        <v>0</v>
      </c>
      <c r="V41">
        <f t="shared" si="6"/>
        <v>0</v>
      </c>
      <c r="W41">
        <f t="shared" si="7"/>
        <v>0</v>
      </c>
      <c r="X41">
        <f t="shared" si="8"/>
        <v>0</v>
      </c>
      <c r="Y41">
        <f t="shared" si="9"/>
        <v>0</v>
      </c>
      <c r="Z41">
        <f t="shared" si="10"/>
        <v>0</v>
      </c>
      <c r="AA41">
        <f t="shared" si="11"/>
        <v>0</v>
      </c>
      <c r="AB41">
        <f t="shared" si="12"/>
        <v>0</v>
      </c>
      <c r="AC41">
        <f t="shared" si="13"/>
        <v>0</v>
      </c>
      <c r="AD41">
        <f t="shared" si="14"/>
        <v>0</v>
      </c>
      <c r="AE41">
        <f t="shared" si="15"/>
        <v>0</v>
      </c>
      <c r="AF41">
        <f t="shared" si="16"/>
        <v>0</v>
      </c>
      <c r="AG41">
        <f t="shared" si="17"/>
        <v>0</v>
      </c>
      <c r="AH41">
        <f t="shared" si="18"/>
        <v>0</v>
      </c>
      <c r="AI41">
        <f t="shared" si="19"/>
        <v>0</v>
      </c>
      <c r="AJ41">
        <f t="shared" si="20"/>
        <v>0</v>
      </c>
      <c r="AK41">
        <f t="shared" si="21"/>
        <v>0</v>
      </c>
      <c r="AL41">
        <f t="shared" si="22"/>
        <v>0</v>
      </c>
      <c r="AM41">
        <f t="shared" si="23"/>
        <v>0</v>
      </c>
      <c r="AN41">
        <f t="shared" si="24"/>
        <v>0</v>
      </c>
      <c r="AO41">
        <f t="shared" si="25"/>
        <v>0</v>
      </c>
      <c r="AP41">
        <f t="shared" si="26"/>
        <v>0</v>
      </c>
      <c r="AQ41">
        <f t="shared" si="27"/>
        <v>0</v>
      </c>
      <c r="AR41">
        <f t="shared" si="28"/>
        <v>0</v>
      </c>
      <c r="AS41">
        <f t="shared" si="29"/>
        <v>0</v>
      </c>
      <c r="AT41">
        <f t="shared" si="30"/>
        <v>0</v>
      </c>
    </row>
    <row r="42" spans="1:50" ht="20.100000000000001" customHeight="1">
      <c r="A42" s="38" t="s">
        <v>404</v>
      </c>
      <c r="B42" s="39" t="str">
        <f>"노무비의 " &amp; M42*100 &amp; "%"</f>
        <v>노무비의 2%</v>
      </c>
      <c r="C42" s="40" t="s">
        <v>1</v>
      </c>
      <c r="D42" s="47">
        <v>1</v>
      </c>
      <c r="E42" s="47"/>
      <c r="F42" s="47"/>
      <c r="G42" s="47"/>
      <c r="H42" s="47"/>
      <c r="I42" s="47"/>
      <c r="J42" s="47"/>
      <c r="K42" s="47">
        <f t="shared" si="0"/>
        <v>0</v>
      </c>
      <c r="L42" s="41"/>
      <c r="M42">
        <v>0.02</v>
      </c>
      <c r="N42" t="str">
        <f>""</f>
        <v/>
      </c>
      <c r="O42" s="1" t="s">
        <v>59</v>
      </c>
      <c r="P42">
        <v>1</v>
      </c>
      <c r="Q42">
        <f t="shared" si="1"/>
        <v>0</v>
      </c>
      <c r="R42">
        <f t="shared" si="2"/>
        <v>0</v>
      </c>
      <c r="S42">
        <f t="shared" si="3"/>
        <v>0</v>
      </c>
      <c r="T42">
        <f t="shared" si="4"/>
        <v>0</v>
      </c>
      <c r="U42">
        <f t="shared" si="5"/>
        <v>0</v>
      </c>
      <c r="V42">
        <f t="shared" si="6"/>
        <v>0</v>
      </c>
      <c r="W42">
        <f t="shared" si="7"/>
        <v>0</v>
      </c>
      <c r="X42">
        <f t="shared" si="8"/>
        <v>0</v>
      </c>
      <c r="Y42">
        <f t="shared" si="9"/>
        <v>0</v>
      </c>
      <c r="Z42">
        <f t="shared" si="10"/>
        <v>0</v>
      </c>
      <c r="AA42">
        <f t="shared" si="11"/>
        <v>0</v>
      </c>
      <c r="AB42">
        <f t="shared" si="12"/>
        <v>0</v>
      </c>
      <c r="AC42">
        <f t="shared" si="13"/>
        <v>0</v>
      </c>
      <c r="AD42">
        <f t="shared" si="14"/>
        <v>0</v>
      </c>
      <c r="AE42">
        <f t="shared" si="15"/>
        <v>0</v>
      </c>
      <c r="AF42">
        <f t="shared" si="16"/>
        <v>0</v>
      </c>
      <c r="AG42">
        <f t="shared" si="17"/>
        <v>0</v>
      </c>
      <c r="AH42">
        <f t="shared" si="18"/>
        <v>0</v>
      </c>
      <c r="AI42">
        <f t="shared" si="19"/>
        <v>0</v>
      </c>
      <c r="AJ42">
        <f t="shared" si="20"/>
        <v>0</v>
      </c>
      <c r="AK42">
        <f t="shared" si="21"/>
        <v>0</v>
      </c>
      <c r="AL42">
        <f t="shared" si="22"/>
        <v>0</v>
      </c>
      <c r="AM42">
        <f t="shared" si="23"/>
        <v>0</v>
      </c>
      <c r="AN42">
        <f t="shared" si="24"/>
        <v>0</v>
      </c>
      <c r="AO42">
        <f t="shared" si="25"/>
        <v>0</v>
      </c>
      <c r="AP42">
        <f t="shared" si="26"/>
        <v>0</v>
      </c>
      <c r="AQ42">
        <f t="shared" si="27"/>
        <v>0</v>
      </c>
      <c r="AR42">
        <f t="shared" si="28"/>
        <v>0</v>
      </c>
      <c r="AS42">
        <f t="shared" si="29"/>
        <v>0</v>
      </c>
      <c r="AT42">
        <f t="shared" si="30"/>
        <v>0</v>
      </c>
      <c r="AV42" s="1" t="s">
        <v>405</v>
      </c>
      <c r="AW42" s="1" t="s">
        <v>406</v>
      </c>
    </row>
    <row r="43" spans="1:50" ht="20.100000000000001" customHeight="1">
      <c r="A43" s="39"/>
      <c r="B43" s="39"/>
      <c r="C43" s="46"/>
      <c r="D43" s="47"/>
      <c r="E43" s="47"/>
      <c r="F43" s="47"/>
      <c r="G43" s="47"/>
      <c r="H43" s="47"/>
      <c r="I43" s="47"/>
      <c r="J43" s="47"/>
      <c r="K43" s="47"/>
      <c r="L43" s="41"/>
    </row>
    <row r="44" spans="1:50" ht="20.100000000000001" customHeight="1">
      <c r="A44" s="42" t="s">
        <v>31</v>
      </c>
      <c r="B44" s="43"/>
      <c r="C44" s="44"/>
      <c r="D44" s="48"/>
      <c r="E44" s="48"/>
      <c r="F44" s="48">
        <f>ROUNDDOWN(SUMIF(P6:P43, "1", F6:F43), 0)</f>
        <v>0</v>
      </c>
      <c r="G44" s="48"/>
      <c r="H44" s="48">
        <f>ROUNDDOWN(SUMIF(P6:P43, "1", H6:H43), 0)</f>
        <v>0</v>
      </c>
      <c r="I44" s="48"/>
      <c r="J44" s="48">
        <f>ROUNDDOWN(SUMIF(P6:P43, "1", J6:J43), 0)</f>
        <v>0</v>
      </c>
      <c r="K44" s="48">
        <f>F44+H44+J44</f>
        <v>0</v>
      </c>
      <c r="L44" s="45"/>
      <c r="Q44">
        <f t="shared" ref="Q44:AX44" si="32">ROUNDDOWN(SUM(Q6:Q42), 0)</f>
        <v>0</v>
      </c>
      <c r="R44">
        <f t="shared" si="32"/>
        <v>0</v>
      </c>
      <c r="S44">
        <f t="shared" si="32"/>
        <v>0</v>
      </c>
      <c r="T44">
        <f t="shared" si="32"/>
        <v>0</v>
      </c>
      <c r="U44">
        <f t="shared" si="32"/>
        <v>0</v>
      </c>
      <c r="V44">
        <f t="shared" si="32"/>
        <v>0</v>
      </c>
      <c r="W44">
        <f t="shared" si="32"/>
        <v>0</v>
      </c>
      <c r="X44">
        <f t="shared" si="32"/>
        <v>0</v>
      </c>
      <c r="Y44">
        <f t="shared" si="32"/>
        <v>0</v>
      </c>
      <c r="Z44">
        <f t="shared" si="32"/>
        <v>0</v>
      </c>
      <c r="AA44">
        <f t="shared" si="32"/>
        <v>0</v>
      </c>
      <c r="AB44">
        <f t="shared" si="32"/>
        <v>0</v>
      </c>
      <c r="AC44">
        <f t="shared" si="32"/>
        <v>0</v>
      </c>
      <c r="AD44">
        <f t="shared" si="32"/>
        <v>0</v>
      </c>
      <c r="AE44">
        <f t="shared" si="32"/>
        <v>0</v>
      </c>
      <c r="AF44">
        <f t="shared" si="32"/>
        <v>0</v>
      </c>
      <c r="AG44">
        <f t="shared" si="32"/>
        <v>0</v>
      </c>
      <c r="AH44">
        <f t="shared" si="32"/>
        <v>0</v>
      </c>
      <c r="AI44">
        <f t="shared" si="32"/>
        <v>0</v>
      </c>
      <c r="AJ44">
        <f t="shared" si="32"/>
        <v>0</v>
      </c>
      <c r="AK44">
        <f t="shared" si="32"/>
        <v>0</v>
      </c>
      <c r="AL44">
        <f t="shared" si="32"/>
        <v>0</v>
      </c>
      <c r="AM44">
        <f t="shared" si="32"/>
        <v>0</v>
      </c>
      <c r="AN44">
        <f t="shared" si="32"/>
        <v>0</v>
      </c>
      <c r="AO44">
        <f t="shared" si="32"/>
        <v>0</v>
      </c>
      <c r="AP44">
        <f t="shared" si="32"/>
        <v>0</v>
      </c>
      <c r="AQ44">
        <f t="shared" si="32"/>
        <v>0</v>
      </c>
      <c r="AR44">
        <f t="shared" si="32"/>
        <v>0</v>
      </c>
      <c r="AS44">
        <f t="shared" si="32"/>
        <v>0</v>
      </c>
      <c r="AT44">
        <f t="shared" si="32"/>
        <v>0</v>
      </c>
      <c r="AU44">
        <f t="shared" si="32"/>
        <v>0</v>
      </c>
      <c r="AV44">
        <f t="shared" si="32"/>
        <v>0</v>
      </c>
      <c r="AW44">
        <f t="shared" si="32"/>
        <v>0</v>
      </c>
      <c r="AX44">
        <f t="shared" si="32"/>
        <v>0</v>
      </c>
    </row>
    <row r="45" spans="1:50" ht="20.100000000000001" customHeight="1">
      <c r="A45" s="137" t="s">
        <v>456</v>
      </c>
      <c r="B45" s="138"/>
      <c r="C45" s="138"/>
      <c r="D45" s="139"/>
      <c r="E45" s="139"/>
      <c r="F45" s="139"/>
      <c r="G45" s="139"/>
      <c r="H45" s="139"/>
      <c r="I45" s="139"/>
      <c r="J45" s="139"/>
      <c r="K45" s="139"/>
      <c r="L45" s="138"/>
    </row>
    <row r="46" spans="1:50" ht="20.100000000000001" customHeight="1">
      <c r="A46" s="38" t="s">
        <v>385</v>
      </c>
      <c r="B46" s="38" t="s">
        <v>386</v>
      </c>
      <c r="C46" s="40" t="s">
        <v>359</v>
      </c>
      <c r="D46" s="47">
        <v>147</v>
      </c>
      <c r="E46" s="47">
        <v>0</v>
      </c>
      <c r="F46" s="47">
        <f>ROUNDDOWN(D46*E46, 0)</f>
        <v>0</v>
      </c>
      <c r="G46" s="47">
        <v>0</v>
      </c>
      <c r="H46" s="47"/>
      <c r="I46" s="47"/>
      <c r="J46" s="47"/>
      <c r="K46" s="47"/>
      <c r="L46" s="41"/>
      <c r="N46" t="str">
        <f>"03"</f>
        <v>03</v>
      </c>
      <c r="O46" t="s">
        <v>4</v>
      </c>
      <c r="P46">
        <v>1</v>
      </c>
      <c r="Q46">
        <f>IF(O46="기계경비", J46, 0)</f>
        <v>0</v>
      </c>
      <c r="R46">
        <f>IF(O46="운반비", J46, 0)</f>
        <v>0</v>
      </c>
      <c r="S46">
        <f>IF(O46="작업부산물", F46, 0)</f>
        <v>0</v>
      </c>
      <c r="T46">
        <f>IF(O46="관급", F46, 0)</f>
        <v>0</v>
      </c>
      <c r="U46">
        <f>IF(O46="외주비", J46, 0)</f>
        <v>0</v>
      </c>
      <c r="V46">
        <f>IF(O46="장비비", J46, 0)</f>
        <v>0</v>
      </c>
      <c r="W46">
        <f>IF(O46="폐기물처리비", K46, 0)</f>
        <v>0</v>
      </c>
      <c r="X46">
        <f>IF(O46="가설비", J46, 0)</f>
        <v>0</v>
      </c>
      <c r="Y46">
        <f>IF(O46="잡비제외분", F46, 0)</f>
        <v>0</v>
      </c>
      <c r="Z46">
        <f>IF(O46="사급자재대", K46, 0)</f>
        <v>0</v>
      </c>
      <c r="AA46">
        <f>IF(O46="관급자재대", K46, 0)</f>
        <v>0</v>
      </c>
      <c r="AB46">
        <f>IF(O46="작업부산물1", K46, 0)</f>
        <v>0</v>
      </c>
      <c r="AC46">
        <f>IF(O46="소방시설공사업 배상책임공제", K46, 0)</f>
        <v>0</v>
      </c>
      <c r="AD46">
        <f>IF(O46="부가가치세", K46, 0)</f>
        <v>0</v>
      </c>
      <c r="AE46">
        <f>IF(O46="T. A. B 공 사", K46, 0)</f>
        <v>0</v>
      </c>
      <c r="AF46">
        <f>IF(O46="자동제어공사", K46, 0)</f>
        <v>0</v>
      </c>
      <c r="AG46">
        <f>IF(O46="품 질 관 리", K46, 0)</f>
        <v>0</v>
      </c>
      <c r="AH46">
        <f>IF(O46="재 해 예 방 기 술 지 도", K46, 0)</f>
        <v>0</v>
      </c>
      <c r="AI46">
        <f>IF(O46="상수도인입분당금", K46, 0)</f>
        <v>0</v>
      </c>
      <c r="AJ46">
        <f>IF(O46="", K46, 0)</f>
        <v>0</v>
      </c>
      <c r="AK46">
        <f>IF(O46="사용자항목10", K46, 0)</f>
        <v>0</v>
      </c>
      <c r="AL46">
        <f>IF(O46="사용자항목11", K46, 0)</f>
        <v>0</v>
      </c>
      <c r="AM46">
        <f>IF(O46="사용자항목12", K46, 0)</f>
        <v>0</v>
      </c>
      <c r="AN46">
        <f>IF(O46="사용자항목13", K46, 0)</f>
        <v>0</v>
      </c>
      <c r="AO46">
        <f>IF(O46="사용자항목14", K46, 0)</f>
        <v>0</v>
      </c>
      <c r="AP46">
        <f>IF(O46="사용자항목15", K46, 0)</f>
        <v>0</v>
      </c>
      <c r="AQ46">
        <f>IF(O46="사용자항목16", K46, 0)</f>
        <v>0</v>
      </c>
      <c r="AR46">
        <f>IF(O46="사용자항목17", K46, 0)</f>
        <v>0</v>
      </c>
      <c r="AS46">
        <f>IF(O46="사용자항목18", K46, 0)</f>
        <v>0</v>
      </c>
      <c r="AT46">
        <f>IF(O46="사용자항목19", K46, 0)</f>
        <v>0</v>
      </c>
    </row>
    <row r="47" spans="1:50" ht="20.100000000000001" customHeight="1">
      <c r="A47" s="38" t="s">
        <v>387</v>
      </c>
      <c r="B47" s="38" t="s">
        <v>388</v>
      </c>
      <c r="C47" s="40" t="s">
        <v>359</v>
      </c>
      <c r="D47" s="47">
        <v>147</v>
      </c>
      <c r="E47" s="47">
        <v>0</v>
      </c>
      <c r="F47" s="47">
        <f>ROUNDDOWN(D47*E47, 0)</f>
        <v>0</v>
      </c>
      <c r="G47" s="47">
        <v>0</v>
      </c>
      <c r="H47" s="47"/>
      <c r="I47" s="47"/>
      <c r="J47" s="47"/>
      <c r="K47" s="47"/>
      <c r="L47" s="41"/>
      <c r="N47" t="str">
        <f>"03"</f>
        <v>03</v>
      </c>
      <c r="O47" t="s">
        <v>4</v>
      </c>
      <c r="P47">
        <v>1</v>
      </c>
      <c r="Q47">
        <f>IF(O47="기계경비", J47, 0)</f>
        <v>0</v>
      </c>
      <c r="R47">
        <f>IF(O47="운반비", J47, 0)</f>
        <v>0</v>
      </c>
      <c r="S47">
        <f>IF(O47="작업부산물", F47, 0)</f>
        <v>0</v>
      </c>
      <c r="T47">
        <f>IF(O47="관급", F47, 0)</f>
        <v>0</v>
      </c>
      <c r="U47">
        <f>IF(O47="외주비", J47, 0)</f>
        <v>0</v>
      </c>
      <c r="V47">
        <f>IF(O47="장비비", J47, 0)</f>
        <v>0</v>
      </c>
      <c r="W47">
        <f>IF(O47="폐기물처리비", K47, 0)</f>
        <v>0</v>
      </c>
      <c r="X47">
        <f>IF(O47="가설비", J47, 0)</f>
        <v>0</v>
      </c>
      <c r="Y47">
        <f>IF(O47="잡비제외분", F47, 0)</f>
        <v>0</v>
      </c>
      <c r="Z47">
        <f>IF(O47="사급자재대", K47, 0)</f>
        <v>0</v>
      </c>
      <c r="AA47">
        <f>IF(O47="관급자재대", K47, 0)</f>
        <v>0</v>
      </c>
      <c r="AB47">
        <f>IF(O47="작업부산물1", K47, 0)</f>
        <v>0</v>
      </c>
      <c r="AC47">
        <f>IF(O47="소방시설공사업 배상책임공제", K47, 0)</f>
        <v>0</v>
      </c>
      <c r="AD47">
        <f>IF(O47="부가가치세", K47, 0)</f>
        <v>0</v>
      </c>
      <c r="AE47">
        <f>IF(O47="T. A. B 공 사", K47, 0)</f>
        <v>0</v>
      </c>
      <c r="AF47">
        <f>IF(O47="자동제어공사", K47, 0)</f>
        <v>0</v>
      </c>
      <c r="AG47">
        <f>IF(O47="품 질 관 리", K47, 0)</f>
        <v>0</v>
      </c>
      <c r="AH47">
        <f>IF(O47="재 해 예 방 기 술 지 도", K47, 0)</f>
        <v>0</v>
      </c>
      <c r="AI47">
        <f>IF(O47="상수도인입분당금", K47, 0)</f>
        <v>0</v>
      </c>
      <c r="AJ47">
        <f>IF(O47="", K47, 0)</f>
        <v>0</v>
      </c>
      <c r="AK47">
        <f>IF(O47="사용자항목10", K47, 0)</f>
        <v>0</v>
      </c>
      <c r="AL47">
        <f>IF(O47="사용자항목11", K47, 0)</f>
        <v>0</v>
      </c>
      <c r="AM47">
        <f>IF(O47="사용자항목12", K47, 0)</f>
        <v>0</v>
      </c>
      <c r="AN47">
        <f>IF(O47="사용자항목13", K47, 0)</f>
        <v>0</v>
      </c>
      <c r="AO47">
        <f>IF(O47="사용자항목14", K47, 0)</f>
        <v>0</v>
      </c>
      <c r="AP47">
        <f>IF(O47="사용자항목15", K47, 0)</f>
        <v>0</v>
      </c>
      <c r="AQ47">
        <f>IF(O47="사용자항목16", K47, 0)</f>
        <v>0</v>
      </c>
      <c r="AR47">
        <f>IF(O47="사용자항목17", K47, 0)</f>
        <v>0</v>
      </c>
      <c r="AS47">
        <f>IF(O47="사용자항목18", K47, 0)</f>
        <v>0</v>
      </c>
      <c r="AT47">
        <f>IF(O47="사용자항목19", K47, 0)</f>
        <v>0</v>
      </c>
    </row>
    <row r="48" spans="1:50" ht="20.100000000000001" customHeight="1">
      <c r="A48" s="38" t="s">
        <v>4</v>
      </c>
      <c r="B48" s="38" t="s">
        <v>389</v>
      </c>
      <c r="C48" s="40" t="s">
        <v>359</v>
      </c>
      <c r="D48" s="47">
        <v>147</v>
      </c>
      <c r="E48" s="47">
        <v>0</v>
      </c>
      <c r="F48" s="47">
        <f>ROUNDDOWN(D48*E48, 0)</f>
        <v>0</v>
      </c>
      <c r="G48" s="47">
        <v>0</v>
      </c>
      <c r="H48" s="47"/>
      <c r="I48" s="47"/>
      <c r="J48" s="47"/>
      <c r="K48" s="47"/>
      <c r="L48" s="41"/>
      <c r="N48" t="str">
        <f>"03"</f>
        <v>03</v>
      </c>
      <c r="O48" t="s">
        <v>4</v>
      </c>
      <c r="P48">
        <v>1</v>
      </c>
      <c r="Q48">
        <f>IF(O48="기계경비", J48, 0)</f>
        <v>0</v>
      </c>
      <c r="R48">
        <f>IF(O48="운반비", J48, 0)</f>
        <v>0</v>
      </c>
      <c r="S48">
        <f>IF(O48="작업부산물", F48, 0)</f>
        <v>0</v>
      </c>
      <c r="T48">
        <f>IF(O48="관급", F48, 0)</f>
        <v>0</v>
      </c>
      <c r="U48">
        <f>IF(O48="외주비", J48, 0)</f>
        <v>0</v>
      </c>
      <c r="V48">
        <f>IF(O48="장비비", J48, 0)</f>
        <v>0</v>
      </c>
      <c r="W48">
        <f>IF(O48="폐기물처리비", K48, 0)</f>
        <v>0</v>
      </c>
      <c r="X48">
        <f>IF(O48="가설비", J48, 0)</f>
        <v>0</v>
      </c>
      <c r="Y48">
        <f>IF(O48="잡비제외분", F48, 0)</f>
        <v>0</v>
      </c>
      <c r="Z48">
        <f>IF(O48="사급자재대", K48, 0)</f>
        <v>0</v>
      </c>
      <c r="AA48">
        <f>IF(O48="관급자재대", K48, 0)</f>
        <v>0</v>
      </c>
      <c r="AB48">
        <f>IF(O48="작업부산물1", K48, 0)</f>
        <v>0</v>
      </c>
      <c r="AC48">
        <f>IF(O48="소방시설공사업 배상책임공제", K48, 0)</f>
        <v>0</v>
      </c>
      <c r="AD48">
        <f>IF(O48="부가가치세", K48, 0)</f>
        <v>0</v>
      </c>
      <c r="AE48">
        <f>IF(O48="T. A. B 공 사", K48, 0)</f>
        <v>0</v>
      </c>
      <c r="AF48">
        <f>IF(O48="자동제어공사", K48, 0)</f>
        <v>0</v>
      </c>
      <c r="AG48">
        <f>IF(O48="품 질 관 리", K48, 0)</f>
        <v>0</v>
      </c>
      <c r="AH48">
        <f>IF(O48="재 해 예 방 기 술 지 도", K48, 0)</f>
        <v>0</v>
      </c>
      <c r="AI48">
        <f>IF(O48="상수도인입분당금", K48, 0)</f>
        <v>0</v>
      </c>
      <c r="AJ48">
        <f>IF(O48="", K48, 0)</f>
        <v>0</v>
      </c>
      <c r="AK48">
        <f>IF(O48="사용자항목10", K48, 0)</f>
        <v>0</v>
      </c>
      <c r="AL48">
        <f>IF(O48="사용자항목11", K48, 0)</f>
        <v>0</v>
      </c>
      <c r="AM48">
        <f>IF(O48="사용자항목12", K48, 0)</f>
        <v>0</v>
      </c>
      <c r="AN48">
        <f>IF(O48="사용자항목13", K48, 0)</f>
        <v>0</v>
      </c>
      <c r="AO48">
        <f>IF(O48="사용자항목14", K48, 0)</f>
        <v>0</v>
      </c>
      <c r="AP48">
        <f>IF(O48="사용자항목15", K48, 0)</f>
        <v>0</v>
      </c>
      <c r="AQ48">
        <f>IF(O48="사용자항목16", K48, 0)</f>
        <v>0</v>
      </c>
      <c r="AR48">
        <f>IF(O48="사용자항목17", K48, 0)</f>
        <v>0</v>
      </c>
      <c r="AS48">
        <f>IF(O48="사용자항목18", K48, 0)</f>
        <v>0</v>
      </c>
      <c r="AT48">
        <f>IF(O48="사용자항목19", K48, 0)</f>
        <v>0</v>
      </c>
    </row>
    <row r="49" spans="1:50" ht="20.100000000000001" customHeight="1">
      <c r="A49" s="39"/>
      <c r="B49" s="39"/>
      <c r="C49" s="46"/>
      <c r="D49" s="47"/>
      <c r="E49" s="47"/>
      <c r="F49" s="47"/>
      <c r="G49" s="47"/>
      <c r="H49" s="47"/>
      <c r="I49" s="47"/>
      <c r="J49" s="47"/>
      <c r="K49" s="47"/>
      <c r="L49" s="41"/>
    </row>
    <row r="50" spans="1:50" ht="20.100000000000001" customHeight="1">
      <c r="A50" s="39"/>
      <c r="B50" s="39"/>
      <c r="C50" s="46"/>
      <c r="D50" s="47"/>
      <c r="E50" s="47"/>
      <c r="F50" s="47"/>
      <c r="G50" s="47"/>
      <c r="H50" s="47"/>
      <c r="I50" s="47"/>
      <c r="J50" s="47"/>
      <c r="K50" s="47"/>
      <c r="L50" s="41"/>
    </row>
    <row r="51" spans="1:50" ht="20.100000000000001" customHeight="1">
      <c r="A51" s="39"/>
      <c r="B51" s="39"/>
      <c r="C51" s="46"/>
      <c r="D51" s="47"/>
      <c r="E51" s="47"/>
      <c r="F51" s="47"/>
      <c r="G51" s="47"/>
      <c r="H51" s="47"/>
      <c r="I51" s="47"/>
      <c r="J51" s="47"/>
      <c r="K51" s="47"/>
      <c r="L51" s="41"/>
    </row>
    <row r="52" spans="1:50" ht="20.100000000000001" customHeight="1">
      <c r="A52" s="39"/>
      <c r="B52" s="39"/>
      <c r="C52" s="46"/>
      <c r="D52" s="47"/>
      <c r="E52" s="47"/>
      <c r="F52" s="47"/>
      <c r="G52" s="47"/>
      <c r="H52" s="47"/>
      <c r="I52" s="47"/>
      <c r="J52" s="47"/>
      <c r="K52" s="47"/>
      <c r="L52" s="41"/>
    </row>
    <row r="53" spans="1:50" ht="20.100000000000001" customHeight="1">
      <c r="A53" s="39"/>
      <c r="B53" s="39"/>
      <c r="C53" s="46"/>
      <c r="D53" s="47"/>
      <c r="E53" s="47"/>
      <c r="F53" s="47"/>
      <c r="G53" s="47"/>
      <c r="H53" s="47"/>
      <c r="I53" s="47"/>
      <c r="J53" s="47"/>
      <c r="K53" s="47"/>
      <c r="L53" s="41"/>
    </row>
    <row r="54" spans="1:50" ht="20.100000000000001" customHeight="1">
      <c r="A54" s="39"/>
      <c r="B54" s="39"/>
      <c r="C54" s="46"/>
      <c r="D54" s="47"/>
      <c r="E54" s="47"/>
      <c r="F54" s="47"/>
      <c r="G54" s="47"/>
      <c r="H54" s="47"/>
      <c r="I54" s="47"/>
      <c r="J54" s="47"/>
      <c r="K54" s="47"/>
      <c r="L54" s="41"/>
    </row>
    <row r="55" spans="1:50" ht="20.100000000000001" customHeight="1">
      <c r="A55" s="39"/>
      <c r="B55" s="39"/>
      <c r="C55" s="46"/>
      <c r="D55" s="47"/>
      <c r="E55" s="47"/>
      <c r="F55" s="47"/>
      <c r="G55" s="47"/>
      <c r="H55" s="47"/>
      <c r="I55" s="47"/>
      <c r="J55" s="47"/>
      <c r="K55" s="47"/>
      <c r="L55" s="41"/>
    </row>
    <row r="56" spans="1:50" ht="20.100000000000001" customHeight="1">
      <c r="A56" s="39"/>
      <c r="B56" s="39"/>
      <c r="C56" s="46"/>
      <c r="D56" s="47"/>
      <c r="E56" s="47"/>
      <c r="F56" s="47"/>
      <c r="G56" s="47"/>
      <c r="H56" s="47"/>
      <c r="I56" s="47"/>
      <c r="J56" s="47"/>
      <c r="K56" s="47"/>
      <c r="L56" s="41"/>
    </row>
    <row r="57" spans="1:50" ht="20.100000000000001" customHeight="1">
      <c r="A57" s="39"/>
      <c r="B57" s="39"/>
      <c r="C57" s="46"/>
      <c r="D57" s="47"/>
      <c r="E57" s="47"/>
      <c r="F57" s="47"/>
      <c r="G57" s="47"/>
      <c r="H57" s="47"/>
      <c r="I57" s="47"/>
      <c r="J57" s="47"/>
      <c r="K57" s="47"/>
      <c r="L57" s="41"/>
    </row>
    <row r="58" spans="1:50" ht="20.100000000000001" customHeight="1">
      <c r="A58" s="39"/>
      <c r="B58" s="39"/>
      <c r="C58" s="46"/>
      <c r="D58" s="47"/>
      <c r="E58" s="47"/>
      <c r="F58" s="47"/>
      <c r="G58" s="47"/>
      <c r="H58" s="47"/>
      <c r="I58" s="47"/>
      <c r="J58" s="47"/>
      <c r="K58" s="47"/>
      <c r="L58" s="41"/>
    </row>
    <row r="59" spans="1:50" ht="20.100000000000001" customHeight="1">
      <c r="A59" s="39"/>
      <c r="B59" s="39"/>
      <c r="C59" s="46"/>
      <c r="D59" s="47"/>
      <c r="E59" s="47"/>
      <c r="F59" s="47"/>
      <c r="G59" s="47"/>
      <c r="H59" s="47"/>
      <c r="I59" s="47"/>
      <c r="J59" s="47"/>
      <c r="K59" s="47"/>
      <c r="L59" s="41"/>
    </row>
    <row r="60" spans="1:50" ht="20.100000000000001" customHeight="1">
      <c r="A60" s="39"/>
      <c r="B60" s="39"/>
      <c r="C60" s="46"/>
      <c r="D60" s="47"/>
      <c r="E60" s="47"/>
      <c r="F60" s="47"/>
      <c r="G60" s="47"/>
      <c r="H60" s="47"/>
      <c r="I60" s="47"/>
      <c r="J60" s="47"/>
      <c r="K60" s="47"/>
      <c r="L60" s="41"/>
    </row>
    <row r="61" spans="1:50" ht="20.100000000000001" customHeight="1">
      <c r="A61" s="39"/>
      <c r="B61" s="39"/>
      <c r="C61" s="46"/>
      <c r="D61" s="47"/>
      <c r="E61" s="47"/>
      <c r="F61" s="47"/>
      <c r="G61" s="47"/>
      <c r="H61" s="47"/>
      <c r="I61" s="47"/>
      <c r="J61" s="47"/>
      <c r="K61" s="47"/>
      <c r="L61" s="41"/>
    </row>
    <row r="62" spans="1:50" ht="20.100000000000001" customHeight="1">
      <c r="A62" s="39"/>
      <c r="B62" s="39"/>
      <c r="C62" s="46"/>
      <c r="D62" s="47"/>
      <c r="E62" s="47"/>
      <c r="F62" s="47"/>
      <c r="G62" s="47"/>
      <c r="H62" s="47"/>
      <c r="I62" s="47"/>
      <c r="J62" s="47"/>
      <c r="K62" s="47"/>
      <c r="L62" s="41"/>
    </row>
    <row r="63" spans="1:50" ht="20.100000000000001" customHeight="1">
      <c r="A63" s="39"/>
      <c r="B63" s="39"/>
      <c r="C63" s="46"/>
      <c r="D63" s="47"/>
      <c r="E63" s="47"/>
      <c r="F63" s="47"/>
      <c r="G63" s="47"/>
      <c r="H63" s="47"/>
      <c r="I63" s="47"/>
      <c r="J63" s="47"/>
      <c r="K63" s="47"/>
      <c r="L63" s="41"/>
    </row>
    <row r="64" spans="1:50" ht="20.100000000000001" customHeight="1">
      <c r="A64" s="42" t="s">
        <v>31</v>
      </c>
      <c r="B64" s="43"/>
      <c r="C64" s="44"/>
      <c r="D64" s="48"/>
      <c r="E64" s="48"/>
      <c r="F64" s="48">
        <f>ROUNDDOWN(SUMIF(P46:P63, "1", F46:F63), 0)</f>
        <v>0</v>
      </c>
      <c r="G64" s="48"/>
      <c r="H64" s="48">
        <f>ROUNDDOWN(SUMIF(P46:P63, "1", H46:H63), 0)</f>
        <v>0</v>
      </c>
      <c r="I64" s="48"/>
      <c r="J64" s="48">
        <f>ROUNDDOWN(SUMIF(P46:P63, "1", J46:J63), 0)</f>
        <v>0</v>
      </c>
      <c r="K64" s="48">
        <f>F64+H64+J64</f>
        <v>0</v>
      </c>
      <c r="L64" s="45"/>
      <c r="Q64">
        <f t="shared" ref="Q64:AX64" si="33">ROUNDDOWN(SUM(Q46:Q48), 0)</f>
        <v>0</v>
      </c>
      <c r="R64">
        <f t="shared" si="33"/>
        <v>0</v>
      </c>
      <c r="S64">
        <f t="shared" si="33"/>
        <v>0</v>
      </c>
      <c r="T64">
        <f t="shared" si="33"/>
        <v>0</v>
      </c>
      <c r="U64">
        <f t="shared" si="33"/>
        <v>0</v>
      </c>
      <c r="V64">
        <f t="shared" si="33"/>
        <v>0</v>
      </c>
      <c r="W64">
        <f t="shared" si="33"/>
        <v>0</v>
      </c>
      <c r="X64">
        <f t="shared" si="33"/>
        <v>0</v>
      </c>
      <c r="Y64">
        <f t="shared" si="33"/>
        <v>0</v>
      </c>
      <c r="Z64">
        <f t="shared" si="33"/>
        <v>0</v>
      </c>
      <c r="AA64">
        <f t="shared" si="33"/>
        <v>0</v>
      </c>
      <c r="AB64">
        <f t="shared" si="33"/>
        <v>0</v>
      </c>
      <c r="AC64">
        <f t="shared" si="33"/>
        <v>0</v>
      </c>
      <c r="AD64">
        <f t="shared" si="33"/>
        <v>0</v>
      </c>
      <c r="AE64">
        <f t="shared" si="33"/>
        <v>0</v>
      </c>
      <c r="AF64">
        <f t="shared" si="33"/>
        <v>0</v>
      </c>
      <c r="AG64">
        <f t="shared" si="33"/>
        <v>0</v>
      </c>
      <c r="AH64">
        <f t="shared" si="33"/>
        <v>0</v>
      </c>
      <c r="AI64">
        <f t="shared" si="33"/>
        <v>0</v>
      </c>
      <c r="AJ64">
        <f t="shared" si="33"/>
        <v>0</v>
      </c>
      <c r="AK64">
        <f t="shared" si="33"/>
        <v>0</v>
      </c>
      <c r="AL64">
        <f t="shared" si="33"/>
        <v>0</v>
      </c>
      <c r="AM64">
        <f t="shared" si="33"/>
        <v>0</v>
      </c>
      <c r="AN64">
        <f t="shared" si="33"/>
        <v>0</v>
      </c>
      <c r="AO64">
        <f t="shared" si="33"/>
        <v>0</v>
      </c>
      <c r="AP64">
        <f t="shared" si="33"/>
        <v>0</v>
      </c>
      <c r="AQ64">
        <f t="shared" si="33"/>
        <v>0</v>
      </c>
      <c r="AR64">
        <f t="shared" si="33"/>
        <v>0</v>
      </c>
      <c r="AS64">
        <f t="shared" si="33"/>
        <v>0</v>
      </c>
      <c r="AT64">
        <f t="shared" si="33"/>
        <v>0</v>
      </c>
      <c r="AU64">
        <f t="shared" si="33"/>
        <v>0</v>
      </c>
      <c r="AV64">
        <f t="shared" si="33"/>
        <v>0</v>
      </c>
      <c r="AW64">
        <f t="shared" si="33"/>
        <v>0</v>
      </c>
      <c r="AX64">
        <f t="shared" si="33"/>
        <v>0</v>
      </c>
    </row>
  </sheetData>
  <mergeCells count="13">
    <mergeCell ref="K3:K4"/>
    <mergeCell ref="A5:L5"/>
    <mergeCell ref="A45:L45"/>
    <mergeCell ref="A1:L1"/>
    <mergeCell ref="A2:L2"/>
    <mergeCell ref="A3:A4"/>
    <mergeCell ref="B3:B4"/>
    <mergeCell ref="C3:C4"/>
    <mergeCell ref="D3:D4"/>
    <mergeCell ref="L3:L4"/>
    <mergeCell ref="E3:F3"/>
    <mergeCell ref="G3:H3"/>
    <mergeCell ref="I3:J3"/>
  </mergeCells>
  <phoneticPr fontId="1" type="noConversion"/>
  <conditionalFormatting sqref="A6:L64 A5">
    <cfRule type="containsText" dxfId="17" priority="1" stopIfTrue="1" operator="containsText" text=".">
      <formula>NOT(ISERROR(SEARCH(".",A5)))</formula>
    </cfRule>
    <cfRule type="notContainsText" dxfId="16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G23"/>
  <sheetViews>
    <sheetView showZeros="0" view="pageBreakPreview" zoomScale="50" zoomScaleNormal="50" zoomScaleSheetLayoutView="70" workbookViewId="0">
      <selection activeCell="A8" sqref="A8:K8"/>
    </sheetView>
  </sheetViews>
  <sheetFormatPr defaultRowHeight="38.25" customHeight="1"/>
  <cols>
    <col min="1" max="1" width="143.125" style="90" customWidth="1"/>
    <col min="2" max="2" width="7.25" style="90" customWidth="1"/>
    <col min="3" max="3" width="6.125" style="90" customWidth="1"/>
    <col min="4" max="4" width="11.75" style="92" customWidth="1"/>
    <col min="5" max="5" width="7" style="93" customWidth="1"/>
    <col min="6" max="6" width="7.875" style="87" customWidth="1"/>
    <col min="7" max="7" width="2.25" style="87" customWidth="1"/>
    <col min="8" max="10" width="10.5" style="87" customWidth="1"/>
    <col min="11" max="11" width="23.625" style="87" customWidth="1"/>
    <col min="12" max="160" width="9" style="87"/>
    <col min="161" max="16384" width="9" style="88"/>
  </cols>
  <sheetData>
    <row r="1" spans="1:163" ht="38.25" customHeight="1">
      <c r="A1" s="83"/>
      <c r="B1" s="83"/>
      <c r="C1" s="83"/>
      <c r="D1" s="84"/>
      <c r="E1" s="85"/>
      <c r="F1" s="86"/>
      <c r="G1" s="86"/>
      <c r="H1" s="86"/>
      <c r="I1" s="86"/>
      <c r="J1" s="86"/>
      <c r="K1" s="86"/>
    </row>
    <row r="2" spans="1:163" ht="39.75" customHeight="1">
      <c r="A2" s="83"/>
      <c r="B2" s="83"/>
      <c r="C2" s="83"/>
      <c r="D2" s="84"/>
      <c r="E2" s="85"/>
      <c r="F2" s="86"/>
      <c r="G2" s="86"/>
      <c r="H2" s="86"/>
      <c r="I2" s="86"/>
      <c r="J2" s="86"/>
      <c r="K2" s="86"/>
    </row>
    <row r="3" spans="1:163" ht="144" customHeight="1">
      <c r="A3" s="110" t="str">
        <f>표지!A3</f>
        <v>삼성라이온즈볼파크 옥외급수시설 개선 기계설비공사</v>
      </c>
      <c r="B3" s="111"/>
      <c r="C3" s="111"/>
      <c r="D3" s="111"/>
      <c r="E3" s="111"/>
      <c r="F3" s="111"/>
      <c r="G3" s="111"/>
      <c r="H3" s="111"/>
      <c r="I3" s="112"/>
      <c r="J3" s="112"/>
      <c r="K3" s="112"/>
    </row>
    <row r="4" spans="1:163" ht="39.950000000000003" customHeight="1">
      <c r="A4" s="106"/>
      <c r="B4" s="107"/>
      <c r="C4" s="107"/>
      <c r="D4" s="107"/>
      <c r="E4" s="107"/>
      <c r="F4" s="107"/>
      <c r="G4" s="107"/>
      <c r="H4" s="107"/>
      <c r="I4" s="108"/>
      <c r="J4" s="108"/>
      <c r="K4" s="108"/>
    </row>
    <row r="5" spans="1:163" ht="55.5" customHeight="1">
      <c r="A5" s="106" t="s">
        <v>530</v>
      </c>
      <c r="B5" s="107"/>
      <c r="C5" s="107"/>
      <c r="D5" s="107"/>
      <c r="E5" s="107"/>
      <c r="F5" s="107"/>
      <c r="G5" s="107"/>
      <c r="H5" s="107"/>
      <c r="I5" s="108"/>
      <c r="J5" s="108"/>
      <c r="K5" s="108"/>
    </row>
    <row r="6" spans="1:163" ht="39.950000000000003" customHeight="1">
      <c r="A6" s="83"/>
      <c r="B6" s="89"/>
      <c r="C6" s="83"/>
      <c r="D6" s="84"/>
      <c r="E6" s="85"/>
      <c r="F6" s="86"/>
      <c r="G6" s="86"/>
      <c r="H6" s="86"/>
      <c r="I6" s="86"/>
      <c r="J6" s="86"/>
      <c r="K6" s="86"/>
    </row>
    <row r="7" spans="1:163" ht="45.75" customHeight="1">
      <c r="A7" s="83"/>
      <c r="B7" s="89"/>
      <c r="C7" s="83"/>
      <c r="D7" s="84"/>
      <c r="E7" s="85"/>
      <c r="F7" s="86"/>
      <c r="G7" s="86"/>
      <c r="H7" s="86"/>
      <c r="I7" s="86"/>
      <c r="J7" s="86"/>
      <c r="K7" s="86"/>
    </row>
    <row r="8" spans="1:163" ht="261.75" customHeight="1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63" ht="42" customHeight="1">
      <c r="A9" s="106"/>
      <c r="B9" s="109"/>
      <c r="C9" s="109"/>
      <c r="D9" s="109"/>
      <c r="E9" s="109"/>
      <c r="F9" s="109"/>
      <c r="G9" s="109"/>
      <c r="H9" s="109"/>
    </row>
    <row r="10" spans="1:163" ht="42" customHeight="1">
      <c r="A10" s="106"/>
      <c r="B10" s="109"/>
      <c r="C10" s="109"/>
      <c r="D10" s="109"/>
      <c r="E10" s="109"/>
      <c r="F10" s="109"/>
      <c r="G10" s="109"/>
      <c r="H10" s="109"/>
    </row>
    <row r="11" spans="1:163" ht="49.5" customHeight="1">
      <c r="A11" s="105" t="str">
        <f>표지!A11</f>
        <v>2025 , 10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FE11" s="87"/>
      <c r="FF11" s="87"/>
      <c r="FG11" s="87"/>
    </row>
    <row r="12" spans="1:163" ht="39.950000000000003" customHeight="1">
      <c r="A12" s="83"/>
      <c r="B12" s="89"/>
      <c r="C12" s="83"/>
      <c r="D12" s="84"/>
      <c r="E12" s="85"/>
      <c r="F12" s="86"/>
      <c r="G12" s="86"/>
      <c r="H12" s="86"/>
      <c r="I12" s="86"/>
      <c r="J12" s="86"/>
      <c r="K12" s="86"/>
    </row>
    <row r="13" spans="1:163" ht="39.950000000000003" customHeight="1">
      <c r="A13" s="83"/>
      <c r="B13" s="89"/>
      <c r="C13" s="83"/>
      <c r="D13" s="84"/>
      <c r="E13" s="85"/>
      <c r="F13" s="86"/>
      <c r="G13" s="86"/>
      <c r="H13" s="86"/>
      <c r="I13" s="86"/>
      <c r="J13" s="86"/>
      <c r="K13" s="86"/>
    </row>
    <row r="14" spans="1:163" ht="55.5" customHeight="1">
      <c r="A14" s="106">
        <f>표지!A14</f>
        <v>0</v>
      </c>
      <c r="B14" s="107"/>
      <c r="C14" s="107"/>
      <c r="D14" s="107"/>
      <c r="E14" s="107"/>
      <c r="F14" s="107"/>
      <c r="G14" s="107"/>
      <c r="H14" s="107"/>
      <c r="I14" s="108"/>
      <c r="J14" s="108"/>
      <c r="K14" s="108"/>
    </row>
    <row r="15" spans="1:163" ht="39.950000000000003" customHeight="1">
      <c r="A15" s="83"/>
      <c r="B15" s="89"/>
      <c r="C15" s="83"/>
      <c r="D15" s="84"/>
      <c r="E15" s="85"/>
      <c r="F15" s="86"/>
      <c r="G15" s="86"/>
      <c r="H15" s="86"/>
      <c r="I15" s="86"/>
      <c r="J15" s="86"/>
      <c r="K15" s="86"/>
    </row>
    <row r="16" spans="1:163" ht="42" customHeight="1">
      <c r="A16" s="106"/>
      <c r="B16" s="109"/>
      <c r="C16" s="109"/>
      <c r="D16" s="109"/>
      <c r="E16" s="109"/>
      <c r="F16" s="109"/>
      <c r="G16" s="109"/>
      <c r="H16" s="109"/>
    </row>
    <row r="17" spans="2:2" ht="42" customHeight="1">
      <c r="B17" s="91"/>
    </row>
    <row r="18" spans="2:2" ht="85.5" customHeight="1">
      <c r="B18" s="91"/>
    </row>
    <row r="19" spans="2:2" ht="85.5" customHeight="1">
      <c r="B19" s="91"/>
    </row>
    <row r="20" spans="2:2" ht="38.25" customHeight="1">
      <c r="B20" s="91"/>
    </row>
    <row r="21" spans="2:2" ht="38.25" customHeight="1">
      <c r="B21" s="91"/>
    </row>
    <row r="22" spans="2:2" ht="38.25" customHeight="1">
      <c r="B22" s="94"/>
    </row>
    <row r="23" spans="2:2" ht="38.25" customHeight="1">
      <c r="B23" s="95"/>
    </row>
  </sheetData>
  <mergeCells count="9">
    <mergeCell ref="A11:K11"/>
    <mergeCell ref="A14:K14"/>
    <mergeCell ref="A16:H16"/>
    <mergeCell ref="A3:K3"/>
    <mergeCell ref="A4:K4"/>
    <mergeCell ref="A5:K5"/>
    <mergeCell ref="A8:K8"/>
    <mergeCell ref="A9:H9"/>
    <mergeCell ref="A10:H10"/>
  </mergeCells>
  <phoneticPr fontId="1" type="noConversion"/>
  <printOptions horizontalCentered="1" verticalCentered="1"/>
  <pageMargins left="0.2" right="3.937007874015748E-2" top="0.26" bottom="0.19685039370078741" header="0.44" footer="0.35433070866141736"/>
  <pageSetup paperSize="9" scale="55" pageOrder="overThenDown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9D86"/>
  </sheetPr>
  <dimension ref="A1:N2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18" sqref="F18"/>
    </sheetView>
  </sheetViews>
  <sheetFormatPr defaultRowHeight="16.5"/>
  <cols>
    <col min="1" max="1" width="7.375" style="3" customWidth="1"/>
    <col min="2" max="3" width="18.625" style="2" customWidth="1"/>
    <col min="4" max="4" width="4.625" style="3" customWidth="1"/>
    <col min="5" max="5" width="6.625" style="3" customWidth="1"/>
    <col min="6" max="6" width="7.625" style="4" customWidth="1"/>
    <col min="7" max="7" width="9.625" style="4" customWidth="1"/>
    <col min="8" max="8" width="7.625" style="4" customWidth="1"/>
    <col min="9" max="9" width="9.625" style="4" customWidth="1"/>
    <col min="10" max="11" width="7.25" style="4" customWidth="1"/>
    <col min="12" max="12" width="9.625" style="4" customWidth="1"/>
    <col min="13" max="13" width="7.625" style="2" customWidth="1"/>
    <col min="14" max="17" width="0" hidden="1" customWidth="1"/>
  </cols>
  <sheetData>
    <row r="1" spans="1:14" ht="30" customHeight="1">
      <c r="A1" s="118" t="s">
        <v>409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4" ht="20.100000000000001" customHeight="1">
      <c r="A2" s="119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4" ht="20.100000000000001" customHeight="1">
      <c r="A3" s="127" t="s">
        <v>198</v>
      </c>
      <c r="B3" s="127" t="s">
        <v>391</v>
      </c>
      <c r="C3" s="127" t="s">
        <v>392</v>
      </c>
      <c r="D3" s="127" t="s">
        <v>9</v>
      </c>
      <c r="E3" s="127" t="s">
        <v>201</v>
      </c>
      <c r="F3" s="127" t="s">
        <v>202</v>
      </c>
      <c r="G3" s="127"/>
      <c r="H3" s="127" t="s">
        <v>203</v>
      </c>
      <c r="I3" s="127"/>
      <c r="J3" s="127" t="s">
        <v>204</v>
      </c>
      <c r="K3" s="127"/>
      <c r="L3" s="127" t="s">
        <v>205</v>
      </c>
      <c r="M3" s="127" t="s">
        <v>40</v>
      </c>
    </row>
    <row r="4" spans="1:14" ht="20.100000000000001" customHeight="1">
      <c r="A4" s="127"/>
      <c r="B4" s="127"/>
      <c r="C4" s="127"/>
      <c r="D4" s="127"/>
      <c r="E4" s="127"/>
      <c r="F4" s="5" t="s">
        <v>41</v>
      </c>
      <c r="G4" s="5" t="s">
        <v>410</v>
      </c>
      <c r="H4" s="5" t="s">
        <v>41</v>
      </c>
      <c r="I4" s="5" t="s">
        <v>410</v>
      </c>
      <c r="J4" s="5" t="s">
        <v>41</v>
      </c>
      <c r="K4" s="5" t="s">
        <v>410</v>
      </c>
      <c r="L4" s="127"/>
      <c r="M4" s="127"/>
      <c r="N4" t="s">
        <v>49</v>
      </c>
    </row>
    <row r="5" spans="1:14" ht="20.100000000000001" customHeight="1">
      <c r="A5" s="40" t="s">
        <v>411</v>
      </c>
      <c r="B5" s="38" t="s">
        <v>412</v>
      </c>
      <c r="C5" s="103" t="s">
        <v>546</v>
      </c>
      <c r="D5" s="40" t="s">
        <v>23</v>
      </c>
      <c r="E5" s="46"/>
      <c r="F5" s="47"/>
      <c r="G5" s="47"/>
      <c r="H5" s="47"/>
      <c r="I5" s="47"/>
      <c r="J5" s="47"/>
      <c r="K5" s="47"/>
      <c r="L5" s="47"/>
      <c r="M5" s="39"/>
    </row>
    <row r="6" spans="1:14" ht="20.100000000000001" customHeight="1">
      <c r="A6" s="40" t="s">
        <v>413</v>
      </c>
      <c r="B6" s="38" t="s">
        <v>412</v>
      </c>
      <c r="C6" s="103" t="s">
        <v>582</v>
      </c>
      <c r="D6" s="40" t="s">
        <v>23</v>
      </c>
      <c r="E6" s="46"/>
      <c r="F6" s="47"/>
      <c r="G6" s="47"/>
      <c r="H6" s="47"/>
      <c r="I6" s="47"/>
      <c r="J6" s="47"/>
      <c r="K6" s="47"/>
      <c r="L6" s="47"/>
      <c r="M6" s="39"/>
    </row>
    <row r="7" spans="1:14" ht="20.100000000000001" customHeight="1">
      <c r="A7" s="40" t="s">
        <v>414</v>
      </c>
      <c r="B7" s="38" t="s">
        <v>415</v>
      </c>
      <c r="C7" s="38" t="s">
        <v>337</v>
      </c>
      <c r="D7" s="40" t="s">
        <v>416</v>
      </c>
      <c r="E7" s="46"/>
      <c r="F7" s="47"/>
      <c r="G7" s="47"/>
      <c r="H7" s="47"/>
      <c r="I7" s="47"/>
      <c r="J7" s="47"/>
      <c r="K7" s="47"/>
      <c r="L7" s="47"/>
      <c r="M7" s="39"/>
    </row>
    <row r="8" spans="1:14" ht="20.100000000000001" customHeight="1">
      <c r="A8" s="40" t="s">
        <v>402</v>
      </c>
      <c r="B8" s="38" t="s">
        <v>400</v>
      </c>
      <c r="C8" s="38" t="s">
        <v>401</v>
      </c>
      <c r="D8" s="40" t="s">
        <v>315</v>
      </c>
      <c r="E8" s="46"/>
      <c r="F8" s="47"/>
      <c r="G8" s="47"/>
      <c r="H8" s="47"/>
      <c r="I8" s="47"/>
      <c r="J8" s="47"/>
      <c r="K8" s="47"/>
      <c r="L8" s="47"/>
      <c r="M8" s="39"/>
    </row>
    <row r="9" spans="1:14" ht="20.100000000000001" customHeight="1">
      <c r="A9" s="40" t="s">
        <v>417</v>
      </c>
      <c r="B9" s="38" t="s">
        <v>418</v>
      </c>
      <c r="C9" s="103" t="s">
        <v>565</v>
      </c>
      <c r="D9" s="40" t="s">
        <v>416</v>
      </c>
      <c r="E9" s="46"/>
      <c r="F9" s="47"/>
      <c r="G9" s="47"/>
      <c r="H9" s="47"/>
      <c r="I9" s="47"/>
      <c r="J9" s="47"/>
      <c r="K9" s="47"/>
      <c r="L9" s="47"/>
      <c r="M9" s="39"/>
    </row>
    <row r="10" spans="1:14" ht="20.100000000000001" customHeight="1">
      <c r="A10" s="40" t="s">
        <v>419</v>
      </c>
      <c r="B10" s="38" t="s">
        <v>418</v>
      </c>
      <c r="C10" s="103" t="s">
        <v>557</v>
      </c>
      <c r="D10" s="40" t="s">
        <v>416</v>
      </c>
      <c r="E10" s="46"/>
      <c r="F10" s="47"/>
      <c r="G10" s="47"/>
      <c r="H10" s="47"/>
      <c r="I10" s="47"/>
      <c r="J10" s="47"/>
      <c r="K10" s="47"/>
      <c r="L10" s="47"/>
      <c r="M10" s="39"/>
    </row>
    <row r="11" spans="1:14" ht="20.100000000000001" customHeight="1">
      <c r="A11" s="40" t="s">
        <v>420</v>
      </c>
      <c r="B11" s="38" t="s">
        <v>421</v>
      </c>
      <c r="C11" s="38" t="s">
        <v>422</v>
      </c>
      <c r="D11" s="40" t="s">
        <v>423</v>
      </c>
      <c r="E11" s="46"/>
      <c r="F11" s="47"/>
      <c r="G11" s="47"/>
      <c r="H11" s="47"/>
      <c r="I11" s="47"/>
      <c r="J11" s="47"/>
      <c r="K11" s="47"/>
      <c r="L11" s="47"/>
      <c r="M11" s="38" t="s">
        <v>408</v>
      </c>
    </row>
    <row r="12" spans="1:14" ht="20.100000000000001" customHeight="1">
      <c r="A12" s="46"/>
      <c r="B12" s="39"/>
      <c r="C12" s="39"/>
      <c r="D12" s="46"/>
      <c r="E12" s="46"/>
      <c r="F12" s="47"/>
      <c r="G12" s="47"/>
      <c r="H12" s="47"/>
      <c r="I12" s="47"/>
      <c r="J12" s="47"/>
      <c r="K12" s="47"/>
      <c r="L12" s="47"/>
      <c r="M12" s="39"/>
    </row>
    <row r="13" spans="1:14" ht="20.100000000000001" customHeight="1">
      <c r="A13" s="46"/>
      <c r="B13" s="39"/>
      <c r="C13" s="39"/>
      <c r="D13" s="46"/>
      <c r="E13" s="46"/>
      <c r="F13" s="47"/>
      <c r="G13" s="47"/>
      <c r="H13" s="47"/>
      <c r="I13" s="47"/>
      <c r="J13" s="47"/>
      <c r="K13" s="47"/>
      <c r="L13" s="47"/>
      <c r="M13" s="39"/>
    </row>
    <row r="14" spans="1:14" ht="20.100000000000001" customHeight="1">
      <c r="A14" s="46"/>
      <c r="B14" s="39"/>
      <c r="C14" s="39"/>
      <c r="D14" s="46"/>
      <c r="E14" s="46"/>
      <c r="F14" s="47"/>
      <c r="G14" s="47"/>
      <c r="H14" s="47"/>
      <c r="I14" s="47"/>
      <c r="J14" s="47"/>
      <c r="K14" s="47"/>
      <c r="L14" s="47"/>
      <c r="M14" s="39"/>
    </row>
    <row r="15" spans="1:14" ht="20.100000000000001" customHeight="1">
      <c r="A15" s="46"/>
      <c r="B15" s="39"/>
      <c r="C15" s="39"/>
      <c r="D15" s="46"/>
      <c r="E15" s="46"/>
      <c r="F15" s="47"/>
      <c r="G15" s="47"/>
      <c r="H15" s="47"/>
      <c r="I15" s="47"/>
      <c r="J15" s="47"/>
      <c r="K15" s="47"/>
      <c r="L15" s="47"/>
      <c r="M15" s="39"/>
    </row>
    <row r="16" spans="1:14" ht="20.100000000000001" customHeight="1">
      <c r="A16" s="46"/>
      <c r="B16" s="39"/>
      <c r="C16" s="39"/>
      <c r="D16" s="46"/>
      <c r="E16" s="46"/>
      <c r="F16" s="47"/>
      <c r="G16" s="47"/>
      <c r="H16" s="47"/>
      <c r="I16" s="47"/>
      <c r="J16" s="47"/>
      <c r="K16" s="47"/>
      <c r="L16" s="47"/>
      <c r="M16" s="39"/>
    </row>
    <row r="17" spans="1:13" ht="20.100000000000001" customHeight="1">
      <c r="A17" s="46"/>
      <c r="B17" s="39"/>
      <c r="C17" s="39"/>
      <c r="D17" s="46"/>
      <c r="E17" s="46"/>
      <c r="F17" s="47"/>
      <c r="G17" s="47"/>
      <c r="H17" s="47"/>
      <c r="I17" s="47"/>
      <c r="J17" s="47"/>
      <c r="K17" s="47"/>
      <c r="L17" s="47"/>
      <c r="M17" s="39"/>
    </row>
    <row r="18" spans="1:13" ht="20.100000000000001" customHeight="1">
      <c r="A18" s="46"/>
      <c r="B18" s="39"/>
      <c r="C18" s="39"/>
      <c r="D18" s="46"/>
      <c r="E18" s="46"/>
      <c r="F18" s="47"/>
      <c r="G18" s="47"/>
      <c r="H18" s="47"/>
      <c r="I18" s="47"/>
      <c r="J18" s="47"/>
      <c r="K18" s="47"/>
      <c r="L18" s="47"/>
      <c r="M18" s="39"/>
    </row>
    <row r="19" spans="1:13" ht="20.100000000000001" customHeight="1">
      <c r="A19" s="46"/>
      <c r="B19" s="39"/>
      <c r="C19" s="39"/>
      <c r="D19" s="46"/>
      <c r="E19" s="46"/>
      <c r="F19" s="47"/>
      <c r="G19" s="47"/>
      <c r="H19" s="47"/>
      <c r="I19" s="47"/>
      <c r="J19" s="47"/>
      <c r="K19" s="47"/>
      <c r="L19" s="47"/>
      <c r="M19" s="39"/>
    </row>
    <row r="20" spans="1:13" ht="20.100000000000001" customHeight="1">
      <c r="A20" s="46"/>
      <c r="B20" s="39"/>
      <c r="C20" s="39"/>
      <c r="D20" s="46"/>
      <c r="E20" s="46"/>
      <c r="F20" s="47"/>
      <c r="G20" s="47"/>
      <c r="H20" s="47"/>
      <c r="I20" s="47"/>
      <c r="J20" s="47"/>
      <c r="K20" s="47"/>
      <c r="L20" s="47"/>
      <c r="M20" s="39"/>
    </row>
    <row r="21" spans="1:13" ht="20.100000000000001" customHeight="1">
      <c r="A21" s="46"/>
      <c r="B21" s="39"/>
      <c r="C21" s="39"/>
      <c r="D21" s="46"/>
      <c r="E21" s="46"/>
      <c r="F21" s="47"/>
      <c r="G21" s="47"/>
      <c r="H21" s="47"/>
      <c r="I21" s="47"/>
      <c r="J21" s="47"/>
      <c r="K21" s="47"/>
      <c r="L21" s="47"/>
      <c r="M21" s="39"/>
    </row>
    <row r="22" spans="1:13" ht="20.100000000000001" customHeight="1">
      <c r="A22" s="46"/>
      <c r="B22" s="39"/>
      <c r="C22" s="39"/>
      <c r="D22" s="46"/>
      <c r="E22" s="46"/>
      <c r="F22" s="47"/>
      <c r="G22" s="47"/>
      <c r="H22" s="47"/>
      <c r="I22" s="47"/>
      <c r="J22" s="47"/>
      <c r="K22" s="47"/>
      <c r="L22" s="47"/>
      <c r="M22" s="39"/>
    </row>
    <row r="23" spans="1:13" ht="20.100000000000001" customHeight="1">
      <c r="A23" s="46"/>
      <c r="B23" s="39"/>
      <c r="C23" s="39"/>
      <c r="D23" s="46"/>
      <c r="E23" s="46"/>
      <c r="F23" s="47"/>
      <c r="G23" s="47"/>
      <c r="H23" s="47"/>
      <c r="I23" s="47"/>
      <c r="J23" s="47"/>
      <c r="K23" s="47"/>
      <c r="L23" s="47"/>
      <c r="M23" s="39"/>
    </row>
    <row r="24" spans="1:13" ht="20.100000000000001" customHeight="1">
      <c r="A24" s="46"/>
      <c r="B24" s="39"/>
      <c r="C24" s="39"/>
      <c r="D24" s="46"/>
      <c r="E24" s="46"/>
      <c r="F24" s="47"/>
      <c r="G24" s="47"/>
      <c r="H24" s="47"/>
      <c r="I24" s="47"/>
      <c r="J24" s="47"/>
      <c r="K24" s="47"/>
      <c r="L24" s="47"/>
      <c r="M24" s="39"/>
    </row>
  </sheetData>
  <mergeCells count="12">
    <mergeCell ref="J3:K3"/>
    <mergeCell ref="L3:L4"/>
    <mergeCell ref="A1:M1"/>
    <mergeCell ref="A2:M2"/>
    <mergeCell ref="A3:A4"/>
    <mergeCell ref="B3:B4"/>
    <mergeCell ref="C3:C4"/>
    <mergeCell ref="D3:D4"/>
    <mergeCell ref="E3:E4"/>
    <mergeCell ref="M3:M4"/>
    <mergeCell ref="F3:G3"/>
    <mergeCell ref="H3:I3"/>
  </mergeCells>
  <phoneticPr fontId="1" type="noConversion"/>
  <conditionalFormatting sqref="A5:M24">
    <cfRule type="containsText" dxfId="15" priority="1" stopIfTrue="1" operator="containsText" text=".">
      <formula>NOT(ISERROR(SEARCH(".",A5)))</formula>
    </cfRule>
    <cfRule type="notContainsText" dxfId="14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S6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28" sqref="J28"/>
    </sheetView>
  </sheetViews>
  <sheetFormatPr defaultRowHeight="16.5"/>
  <cols>
    <col min="1" max="2" width="19.625" style="2" customWidth="1"/>
    <col min="3" max="3" width="4.625" style="3" customWidth="1"/>
    <col min="4" max="4" width="6.625" style="4" customWidth="1"/>
    <col min="5" max="5" width="7.625" style="4" customWidth="1"/>
    <col min="6" max="6" width="9.625" style="4" customWidth="1"/>
    <col min="7" max="7" width="7.625" style="4" customWidth="1"/>
    <col min="8" max="8" width="9.625" style="4" customWidth="1"/>
    <col min="9" max="9" width="7.625" style="4" customWidth="1"/>
    <col min="10" max="11" width="9.625" style="4" customWidth="1"/>
    <col min="12" max="12" width="8.625" style="2" customWidth="1"/>
    <col min="13" max="19" width="0" hidden="1" customWidth="1"/>
  </cols>
  <sheetData>
    <row r="1" spans="1:19" ht="30" customHeight="1">
      <c r="A1" s="118" t="s">
        <v>390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9" ht="20.100000000000001" customHeight="1">
      <c r="A2" s="119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9" ht="20.100000000000001" customHeight="1">
      <c r="A3" s="127" t="s">
        <v>391</v>
      </c>
      <c r="B3" s="127" t="s">
        <v>392</v>
      </c>
      <c r="C3" s="127" t="s">
        <v>9</v>
      </c>
      <c r="D3" s="127" t="s">
        <v>35</v>
      </c>
      <c r="E3" s="127" t="s">
        <v>393</v>
      </c>
      <c r="F3" s="127"/>
      <c r="G3" s="127" t="s">
        <v>394</v>
      </c>
      <c r="H3" s="127"/>
      <c r="I3" s="127" t="s">
        <v>395</v>
      </c>
      <c r="J3" s="127"/>
      <c r="K3" s="127" t="s">
        <v>396</v>
      </c>
      <c r="L3" s="127" t="s">
        <v>40</v>
      </c>
    </row>
    <row r="4" spans="1:19" ht="20.100000000000001" customHeight="1">
      <c r="A4" s="127"/>
      <c r="B4" s="127"/>
      <c r="C4" s="127"/>
      <c r="D4" s="127"/>
      <c r="E4" s="5" t="s">
        <v>41</v>
      </c>
      <c r="F4" s="5" t="s">
        <v>42</v>
      </c>
      <c r="G4" s="5" t="s">
        <v>41</v>
      </c>
      <c r="H4" s="5" t="s">
        <v>42</v>
      </c>
      <c r="I4" s="5" t="s">
        <v>41</v>
      </c>
      <c r="J4" s="5" t="s">
        <v>42</v>
      </c>
      <c r="K4" s="127"/>
      <c r="L4" s="127"/>
      <c r="M4" t="s">
        <v>43</v>
      </c>
      <c r="N4" t="s">
        <v>44</v>
      </c>
      <c r="O4" t="s">
        <v>45</v>
      </c>
      <c r="P4" t="s">
        <v>46</v>
      </c>
      <c r="Q4" t="s">
        <v>47</v>
      </c>
      <c r="R4" t="s">
        <v>48</v>
      </c>
      <c r="S4" t="s">
        <v>49</v>
      </c>
    </row>
    <row r="5" spans="1:19" ht="20.100000000000001" customHeight="1">
      <c r="A5" s="140" t="s">
        <v>576</v>
      </c>
      <c r="B5" s="141"/>
      <c r="C5" s="141"/>
      <c r="D5" s="142"/>
      <c r="E5" s="142"/>
      <c r="F5" s="142"/>
      <c r="G5" s="142"/>
      <c r="H5" s="142"/>
      <c r="I5" s="142"/>
      <c r="J5" s="142"/>
      <c r="K5" s="143"/>
      <c r="L5" s="53"/>
    </row>
    <row r="6" spans="1:19" ht="20.100000000000001" customHeight="1">
      <c r="A6" s="38" t="s">
        <v>332</v>
      </c>
      <c r="B6" s="103" t="s">
        <v>577</v>
      </c>
      <c r="C6" s="40" t="s">
        <v>23</v>
      </c>
      <c r="D6" s="47">
        <v>1.05</v>
      </c>
      <c r="E6" s="47"/>
      <c r="F6" s="47"/>
      <c r="G6" s="47"/>
      <c r="H6" s="47"/>
      <c r="I6" s="47"/>
      <c r="J6" s="47"/>
      <c r="K6" s="47">
        <f t="shared" ref="K6:K13" si="0">F6+H6+J6</f>
        <v>0</v>
      </c>
      <c r="L6" s="39"/>
      <c r="N6" s="1" t="s">
        <v>58</v>
      </c>
      <c r="O6" s="1" t="s">
        <v>59</v>
      </c>
      <c r="P6">
        <v>1</v>
      </c>
    </row>
    <row r="7" spans="1:19" ht="20.100000000000001" customHeight="1">
      <c r="A7" s="38" t="s">
        <v>364</v>
      </c>
      <c r="B7" s="38" t="s">
        <v>365</v>
      </c>
      <c r="C7" s="40" t="s">
        <v>366</v>
      </c>
      <c r="D7" s="47">
        <v>1.7000000000000001E-2</v>
      </c>
      <c r="E7" s="47"/>
      <c r="F7" s="47"/>
      <c r="G7" s="47"/>
      <c r="H7" s="47"/>
      <c r="I7" s="47"/>
      <c r="J7" s="47"/>
      <c r="K7" s="47">
        <f t="shared" si="0"/>
        <v>0</v>
      </c>
      <c r="L7" s="39"/>
      <c r="N7" s="1" t="s">
        <v>0</v>
      </c>
      <c r="O7" s="1" t="s">
        <v>59</v>
      </c>
      <c r="P7">
        <v>1</v>
      </c>
    </row>
    <row r="8" spans="1:19" ht="20.100000000000001" customHeight="1">
      <c r="A8" s="38" t="s">
        <v>333</v>
      </c>
      <c r="B8" s="38" t="s">
        <v>334</v>
      </c>
      <c r="C8" s="40" t="s">
        <v>335</v>
      </c>
      <c r="D8" s="47">
        <v>3.2000000000000001E-2</v>
      </c>
      <c r="E8" s="47"/>
      <c r="F8" s="47"/>
      <c r="G8" s="47"/>
      <c r="H8" s="47"/>
      <c r="I8" s="47"/>
      <c r="J8" s="47"/>
      <c r="K8" s="47">
        <f t="shared" si="0"/>
        <v>0</v>
      </c>
      <c r="L8" s="39"/>
      <c r="N8" s="1" t="s">
        <v>0</v>
      </c>
      <c r="O8" s="1" t="s">
        <v>59</v>
      </c>
      <c r="P8">
        <v>1</v>
      </c>
    </row>
    <row r="9" spans="1:19" ht="20.100000000000001" customHeight="1">
      <c r="A9" s="38" t="s">
        <v>340</v>
      </c>
      <c r="B9" s="38" t="s">
        <v>341</v>
      </c>
      <c r="C9" s="40" t="s">
        <v>23</v>
      </c>
      <c r="D9" s="47">
        <v>0.24</v>
      </c>
      <c r="E9" s="47"/>
      <c r="F9" s="47"/>
      <c r="G9" s="47"/>
      <c r="H9" s="47"/>
      <c r="I9" s="47"/>
      <c r="J9" s="47"/>
      <c r="K9" s="47">
        <f t="shared" si="0"/>
        <v>0</v>
      </c>
      <c r="L9" s="39"/>
      <c r="N9" s="1" t="s">
        <v>0</v>
      </c>
      <c r="O9" s="1" t="s">
        <v>59</v>
      </c>
      <c r="P9">
        <v>1</v>
      </c>
    </row>
    <row r="10" spans="1:19" ht="20.100000000000001" customHeight="1">
      <c r="A10" s="38" t="s">
        <v>397</v>
      </c>
      <c r="B10" s="39" t="str">
        <f>"보온재의 " &amp; M10*100 &amp; "%"</f>
        <v>보온재의 2%</v>
      </c>
      <c r="C10" s="40" t="s">
        <v>1</v>
      </c>
      <c r="D10" s="47">
        <v>1</v>
      </c>
      <c r="E10" s="47"/>
      <c r="F10" s="47"/>
      <c r="G10" s="47"/>
      <c r="H10" s="47"/>
      <c r="I10" s="47"/>
      <c r="J10" s="47"/>
      <c r="K10" s="47">
        <f t="shared" si="0"/>
        <v>0</v>
      </c>
      <c r="L10" s="39"/>
      <c r="M10">
        <v>0.02</v>
      </c>
      <c r="O10" s="1" t="s">
        <v>59</v>
      </c>
      <c r="P10">
        <v>1</v>
      </c>
      <c r="Q10" s="1" t="s">
        <v>69</v>
      </c>
      <c r="R10" s="1" t="s">
        <v>398</v>
      </c>
    </row>
    <row r="11" spans="1:19" ht="20.100000000000001" customHeight="1">
      <c r="A11" s="38" t="s">
        <v>73</v>
      </c>
      <c r="B11" s="38" t="s">
        <v>379</v>
      </c>
      <c r="C11" s="40" t="s">
        <v>75</v>
      </c>
      <c r="D11" s="47">
        <v>7.7399999999999997E-2</v>
      </c>
      <c r="E11" s="47"/>
      <c r="F11" s="47"/>
      <c r="G11" s="47"/>
      <c r="H11" s="47"/>
      <c r="I11" s="47"/>
      <c r="J11" s="47"/>
      <c r="K11" s="47">
        <f t="shared" si="0"/>
        <v>0</v>
      </c>
      <c r="L11" s="39"/>
      <c r="N11" s="1" t="s">
        <v>76</v>
      </c>
      <c r="O11" s="1" t="s">
        <v>59</v>
      </c>
      <c r="P11">
        <v>1</v>
      </c>
    </row>
    <row r="12" spans="1:19" ht="20.100000000000001" customHeight="1">
      <c r="A12" s="38" t="s">
        <v>73</v>
      </c>
      <c r="B12" s="38" t="s">
        <v>21</v>
      </c>
      <c r="C12" s="40" t="s">
        <v>75</v>
      </c>
      <c r="D12" s="47">
        <v>3.8699999999999998E-2</v>
      </c>
      <c r="E12" s="47"/>
      <c r="F12" s="47"/>
      <c r="G12" s="47"/>
      <c r="H12" s="47"/>
      <c r="I12" s="47"/>
      <c r="J12" s="47"/>
      <c r="K12" s="47">
        <f t="shared" si="0"/>
        <v>0</v>
      </c>
      <c r="L12" s="39"/>
      <c r="N12" s="1" t="s">
        <v>76</v>
      </c>
      <c r="O12" s="1" t="s">
        <v>59</v>
      </c>
      <c r="P12">
        <v>1</v>
      </c>
    </row>
    <row r="13" spans="1:19" ht="20.100000000000001" customHeight="1">
      <c r="A13" s="42" t="s">
        <v>31</v>
      </c>
      <c r="B13" s="43"/>
      <c r="C13" s="44"/>
      <c r="D13" s="48"/>
      <c r="E13" s="48"/>
      <c r="F13" s="48">
        <f>ROUNDDOWN(SUMIF(P6:P12, "1", F6:F12), 1)</f>
        <v>0</v>
      </c>
      <c r="G13" s="48"/>
      <c r="H13" s="48">
        <f>ROUNDDOWN(SUMIF(P6:P12, "1", H6:H12), 1)</f>
        <v>0</v>
      </c>
      <c r="I13" s="48"/>
      <c r="J13" s="48">
        <f>ROUNDDOWN(SUMIF(P6:P12, "1", J6:J12), 1)</f>
        <v>0</v>
      </c>
      <c r="K13" s="48">
        <f t="shared" si="0"/>
        <v>0</v>
      </c>
      <c r="L13" s="43"/>
    </row>
    <row r="14" spans="1:19" ht="20.100000000000001" customHeight="1">
      <c r="A14" s="39"/>
      <c r="B14" s="39"/>
      <c r="C14" s="46"/>
      <c r="D14" s="47"/>
      <c r="E14" s="47"/>
      <c r="F14" s="47"/>
      <c r="G14" s="47"/>
      <c r="H14" s="47"/>
      <c r="I14" s="47"/>
      <c r="J14" s="47"/>
      <c r="K14" s="47"/>
      <c r="L14" s="39"/>
    </row>
    <row r="15" spans="1:19" ht="20.100000000000001" customHeight="1">
      <c r="A15" s="144" t="s">
        <v>579</v>
      </c>
      <c r="B15" s="145"/>
      <c r="C15" s="145"/>
      <c r="D15" s="146"/>
      <c r="E15" s="146"/>
      <c r="F15" s="146"/>
      <c r="G15" s="146"/>
      <c r="H15" s="146"/>
      <c r="I15" s="146"/>
      <c r="J15" s="146"/>
      <c r="K15" s="146"/>
      <c r="L15" s="53"/>
    </row>
    <row r="16" spans="1:19" ht="20.100000000000001" customHeight="1">
      <c r="A16" s="38" t="s">
        <v>332</v>
      </c>
      <c r="B16" s="103" t="s">
        <v>578</v>
      </c>
      <c r="C16" s="40" t="s">
        <v>23</v>
      </c>
      <c r="D16" s="47">
        <v>1.05</v>
      </c>
      <c r="E16" s="47"/>
      <c r="F16" s="47"/>
      <c r="G16" s="47"/>
      <c r="H16" s="47"/>
      <c r="I16" s="47"/>
      <c r="J16" s="47"/>
      <c r="K16" s="47">
        <f t="shared" ref="K16:K23" si="1">F16+H16+J16</f>
        <v>0</v>
      </c>
      <c r="L16" s="39"/>
      <c r="N16" s="1" t="s">
        <v>58</v>
      </c>
      <c r="O16" s="1" t="s">
        <v>59</v>
      </c>
      <c r="P16">
        <v>1</v>
      </c>
    </row>
    <row r="17" spans="1:18" ht="20.100000000000001" customHeight="1">
      <c r="A17" s="38" t="s">
        <v>364</v>
      </c>
      <c r="B17" s="38" t="s">
        <v>365</v>
      </c>
      <c r="C17" s="40" t="s">
        <v>366</v>
      </c>
      <c r="D17" s="47">
        <v>1.7000000000000001E-2</v>
      </c>
      <c r="E17" s="47"/>
      <c r="F17" s="47"/>
      <c r="G17" s="47"/>
      <c r="H17" s="47"/>
      <c r="I17" s="47"/>
      <c r="J17" s="47"/>
      <c r="K17" s="47">
        <f t="shared" si="1"/>
        <v>0</v>
      </c>
      <c r="L17" s="39"/>
      <c r="N17" s="1" t="s">
        <v>0</v>
      </c>
      <c r="O17" s="1" t="s">
        <v>59</v>
      </c>
      <c r="P17">
        <v>1</v>
      </c>
    </row>
    <row r="18" spans="1:18" ht="20.100000000000001" customHeight="1">
      <c r="A18" s="38" t="s">
        <v>333</v>
      </c>
      <c r="B18" s="38" t="s">
        <v>334</v>
      </c>
      <c r="C18" s="40" t="s">
        <v>335</v>
      </c>
      <c r="D18" s="47">
        <v>3.2000000000000001E-2</v>
      </c>
      <c r="E18" s="47"/>
      <c r="F18" s="47"/>
      <c r="G18" s="47"/>
      <c r="H18" s="47"/>
      <c r="I18" s="47"/>
      <c r="J18" s="47"/>
      <c r="K18" s="47">
        <f t="shared" si="1"/>
        <v>0</v>
      </c>
      <c r="L18" s="39"/>
      <c r="N18" s="1" t="s">
        <v>0</v>
      </c>
      <c r="O18" s="1" t="s">
        <v>59</v>
      </c>
      <c r="P18">
        <v>1</v>
      </c>
    </row>
    <row r="19" spans="1:18" ht="20.100000000000001" customHeight="1">
      <c r="A19" s="38" t="s">
        <v>340</v>
      </c>
      <c r="B19" s="38" t="s">
        <v>341</v>
      </c>
      <c r="C19" s="40" t="s">
        <v>23</v>
      </c>
      <c r="D19" s="47">
        <v>0.24</v>
      </c>
      <c r="E19" s="47"/>
      <c r="F19" s="47"/>
      <c r="G19" s="47"/>
      <c r="H19" s="47"/>
      <c r="I19" s="47"/>
      <c r="J19" s="47"/>
      <c r="K19" s="47">
        <f t="shared" si="1"/>
        <v>0</v>
      </c>
      <c r="L19" s="39"/>
      <c r="N19" s="1" t="s">
        <v>0</v>
      </c>
      <c r="O19" s="1" t="s">
        <v>59</v>
      </c>
      <c r="P19">
        <v>1</v>
      </c>
    </row>
    <row r="20" spans="1:18" ht="20.100000000000001" customHeight="1">
      <c r="A20" s="38" t="s">
        <v>397</v>
      </c>
      <c r="B20" s="39" t="str">
        <f>"보온재의 " &amp; M20*100 &amp; "%"</f>
        <v>보온재의 2%</v>
      </c>
      <c r="C20" s="40" t="s">
        <v>1</v>
      </c>
      <c r="D20" s="47">
        <v>1</v>
      </c>
      <c r="E20" s="47"/>
      <c r="F20" s="47"/>
      <c r="G20" s="47"/>
      <c r="H20" s="47"/>
      <c r="I20" s="47"/>
      <c r="J20" s="47"/>
      <c r="K20" s="47">
        <f t="shared" si="1"/>
        <v>0</v>
      </c>
      <c r="L20" s="39"/>
      <c r="M20">
        <v>0.02</v>
      </c>
      <c r="O20" s="1" t="s">
        <v>59</v>
      </c>
      <c r="P20">
        <v>1</v>
      </c>
      <c r="Q20" s="1" t="s">
        <v>69</v>
      </c>
      <c r="R20" s="1" t="s">
        <v>398</v>
      </c>
    </row>
    <row r="21" spans="1:18" ht="20.100000000000001" customHeight="1">
      <c r="A21" s="38" t="s">
        <v>73</v>
      </c>
      <c r="B21" s="38" t="s">
        <v>379</v>
      </c>
      <c r="C21" s="40" t="s">
        <v>75</v>
      </c>
      <c r="D21" s="47">
        <v>9.9900000000000003E-2</v>
      </c>
      <c r="E21" s="47"/>
      <c r="F21" s="47"/>
      <c r="G21" s="47"/>
      <c r="H21" s="47"/>
      <c r="I21" s="47"/>
      <c r="J21" s="47"/>
      <c r="K21" s="47">
        <f t="shared" si="1"/>
        <v>0</v>
      </c>
      <c r="L21" s="39"/>
      <c r="N21" s="1" t="s">
        <v>76</v>
      </c>
      <c r="O21" s="1" t="s">
        <v>59</v>
      </c>
      <c r="P21">
        <v>1</v>
      </c>
    </row>
    <row r="22" spans="1:18" ht="20.100000000000001" customHeight="1">
      <c r="A22" s="38" t="s">
        <v>73</v>
      </c>
      <c r="B22" s="38" t="s">
        <v>21</v>
      </c>
      <c r="C22" s="40" t="s">
        <v>75</v>
      </c>
      <c r="D22" s="47">
        <v>4.9500000000000002E-2</v>
      </c>
      <c r="E22" s="47"/>
      <c r="F22" s="47"/>
      <c r="G22" s="47"/>
      <c r="H22" s="47"/>
      <c r="I22" s="47"/>
      <c r="J22" s="47"/>
      <c r="K22" s="47">
        <f t="shared" si="1"/>
        <v>0</v>
      </c>
      <c r="L22" s="39"/>
      <c r="N22" s="1" t="s">
        <v>76</v>
      </c>
      <c r="O22" s="1" t="s">
        <v>59</v>
      </c>
      <c r="P22">
        <v>1</v>
      </c>
    </row>
    <row r="23" spans="1:18" ht="20.100000000000001" customHeight="1">
      <c r="A23" s="42" t="s">
        <v>31</v>
      </c>
      <c r="B23" s="43"/>
      <c r="C23" s="44"/>
      <c r="D23" s="48"/>
      <c r="E23" s="48"/>
      <c r="F23" s="48">
        <f>ROUNDDOWN(SUMIF(P16:P22, "1", F16:F22), 1)</f>
        <v>0</v>
      </c>
      <c r="G23" s="48"/>
      <c r="H23" s="48">
        <f>ROUNDDOWN(SUMIF(P16:P22, "1", H16:H22), 1)</f>
        <v>0</v>
      </c>
      <c r="I23" s="48"/>
      <c r="J23" s="48">
        <f>ROUNDDOWN(SUMIF(P16:P22, "1", J16:J22), 1)</f>
        <v>0</v>
      </c>
      <c r="K23" s="48">
        <f t="shared" si="1"/>
        <v>0</v>
      </c>
      <c r="L23" s="43"/>
    </row>
    <row r="24" spans="1:18" ht="20.100000000000001" customHeight="1">
      <c r="A24" s="39"/>
      <c r="B24" s="39"/>
      <c r="C24" s="46"/>
      <c r="D24" s="47"/>
      <c r="E24" s="47"/>
      <c r="F24" s="47"/>
      <c r="G24" s="47"/>
      <c r="H24" s="47"/>
      <c r="I24" s="47"/>
      <c r="J24" s="47"/>
      <c r="K24" s="47"/>
      <c r="L24" s="39"/>
    </row>
    <row r="25" spans="1:18" ht="20.100000000000001" customHeight="1">
      <c r="A25" s="144" t="s">
        <v>399</v>
      </c>
      <c r="B25" s="145"/>
      <c r="C25" s="145"/>
      <c r="D25" s="146"/>
      <c r="E25" s="146"/>
      <c r="F25" s="146"/>
      <c r="G25" s="146"/>
      <c r="H25" s="146"/>
      <c r="I25" s="146"/>
      <c r="J25" s="146"/>
      <c r="K25" s="146"/>
      <c r="L25" s="53"/>
    </row>
    <row r="26" spans="1:18" ht="20.100000000000001" customHeight="1">
      <c r="A26" s="38" t="s">
        <v>342</v>
      </c>
      <c r="B26" s="38" t="s">
        <v>343</v>
      </c>
      <c r="C26" s="40" t="s">
        <v>23</v>
      </c>
      <c r="D26" s="47">
        <v>0.5</v>
      </c>
      <c r="E26" s="47"/>
      <c r="F26" s="47"/>
      <c r="G26" s="47"/>
      <c r="H26" s="47"/>
      <c r="I26" s="47"/>
      <c r="J26" s="47"/>
      <c r="K26" s="47">
        <f>F26+H26+J26</f>
        <v>0</v>
      </c>
      <c r="L26" s="39"/>
      <c r="N26" s="1" t="s">
        <v>0</v>
      </c>
      <c r="O26" s="1" t="s">
        <v>59</v>
      </c>
      <c r="P26">
        <v>1</v>
      </c>
    </row>
    <row r="27" spans="1:18" ht="20.100000000000001" customHeight="1">
      <c r="A27" s="38" t="s">
        <v>336</v>
      </c>
      <c r="B27" s="38" t="s">
        <v>337</v>
      </c>
      <c r="C27" s="40" t="s">
        <v>27</v>
      </c>
      <c r="D27" s="47">
        <v>1</v>
      </c>
      <c r="E27" s="47"/>
      <c r="F27" s="47"/>
      <c r="G27" s="47"/>
      <c r="H27" s="47"/>
      <c r="I27" s="47"/>
      <c r="J27" s="47"/>
      <c r="K27" s="47">
        <f>F27+H27+J27</f>
        <v>0</v>
      </c>
      <c r="L27" s="39"/>
      <c r="N27" s="1" t="s">
        <v>0</v>
      </c>
      <c r="O27" s="1" t="s">
        <v>59</v>
      </c>
      <c r="P27">
        <v>1</v>
      </c>
    </row>
    <row r="28" spans="1:18" ht="20.100000000000001" customHeight="1">
      <c r="A28" s="38" t="s">
        <v>400</v>
      </c>
      <c r="B28" s="38" t="s">
        <v>401</v>
      </c>
      <c r="C28" s="40" t="s">
        <v>315</v>
      </c>
      <c r="D28" s="47">
        <v>2E-3</v>
      </c>
      <c r="E28" s="47"/>
      <c r="F28" s="47"/>
      <c r="G28" s="47"/>
      <c r="H28" s="47"/>
      <c r="I28" s="47"/>
      <c r="J28" s="47"/>
      <c r="K28" s="47">
        <f>F28+H28+J28</f>
        <v>0</v>
      </c>
      <c r="L28" s="38"/>
      <c r="O28" s="1" t="s">
        <v>59</v>
      </c>
      <c r="P28">
        <v>1</v>
      </c>
    </row>
    <row r="29" spans="1:18" ht="20.100000000000001" customHeight="1">
      <c r="A29" s="38" t="s">
        <v>73</v>
      </c>
      <c r="B29" s="38" t="s">
        <v>21</v>
      </c>
      <c r="C29" s="40" t="s">
        <v>75</v>
      </c>
      <c r="D29" s="47">
        <v>0.02</v>
      </c>
      <c r="E29" s="47"/>
      <c r="F29" s="47"/>
      <c r="G29" s="47"/>
      <c r="H29" s="47"/>
      <c r="I29" s="47"/>
      <c r="J29" s="47"/>
      <c r="K29" s="47">
        <f>F29+H29+J29</f>
        <v>0</v>
      </c>
      <c r="L29" s="39"/>
      <c r="N29" s="1" t="s">
        <v>76</v>
      </c>
      <c r="O29" s="1" t="s">
        <v>59</v>
      </c>
      <c r="P29">
        <v>1</v>
      </c>
    </row>
    <row r="30" spans="1:18" ht="20.100000000000001" customHeight="1">
      <c r="A30" s="42" t="s">
        <v>31</v>
      </c>
      <c r="B30" s="43"/>
      <c r="C30" s="44"/>
      <c r="D30" s="48"/>
      <c r="E30" s="48"/>
      <c r="F30" s="48">
        <f>ROUNDDOWN(SUMIF(P26:P29, "1", F26:F29), 0)</f>
        <v>0</v>
      </c>
      <c r="G30" s="48"/>
      <c r="H30" s="48">
        <f>ROUNDDOWN(SUMIF(P26:P29, "1", H26:H29), 0)</f>
        <v>0</v>
      </c>
      <c r="I30" s="48"/>
      <c r="J30" s="48">
        <f>ROUNDDOWN(SUMIF(P26:P29, "1", J26:J29), 0)</f>
        <v>0</v>
      </c>
      <c r="K30" s="48">
        <f>F30+H30+J30</f>
        <v>0</v>
      </c>
      <c r="L30" s="43"/>
    </row>
    <row r="31" spans="1:18" ht="20.100000000000001" customHeight="1">
      <c r="A31" s="39"/>
      <c r="B31" s="39"/>
      <c r="C31" s="46"/>
      <c r="D31" s="47"/>
      <c r="E31" s="47"/>
      <c r="F31" s="47"/>
      <c r="G31" s="47"/>
      <c r="H31" s="47"/>
      <c r="I31" s="47"/>
      <c r="J31" s="47"/>
      <c r="K31" s="47"/>
      <c r="L31" s="39"/>
    </row>
    <row r="32" spans="1:18" ht="20.100000000000001" customHeight="1">
      <c r="A32" s="144" t="s">
        <v>403</v>
      </c>
      <c r="B32" s="145"/>
      <c r="C32" s="145"/>
      <c r="D32" s="146"/>
      <c r="E32" s="146"/>
      <c r="F32" s="146"/>
      <c r="G32" s="146"/>
      <c r="H32" s="146"/>
      <c r="I32" s="146"/>
      <c r="J32" s="146"/>
      <c r="K32" s="146"/>
      <c r="L32" s="53"/>
    </row>
    <row r="33" spans="1:19" ht="20.100000000000001" customHeight="1">
      <c r="A33" s="38" t="s">
        <v>353</v>
      </c>
      <c r="B33" s="38" t="s">
        <v>354</v>
      </c>
      <c r="C33" s="40" t="s">
        <v>355</v>
      </c>
      <c r="D33" s="47">
        <v>5.5</v>
      </c>
      <c r="E33" s="47"/>
      <c r="F33" s="47"/>
      <c r="G33" s="47"/>
      <c r="H33" s="47"/>
      <c r="I33" s="47"/>
      <c r="J33" s="47"/>
      <c r="K33" s="47">
        <f t="shared" ref="K33:K38" si="2">F33+H33+J33</f>
        <v>0</v>
      </c>
      <c r="L33" s="38"/>
      <c r="N33" s="1" t="s">
        <v>0</v>
      </c>
      <c r="O33" s="1" t="s">
        <v>59</v>
      </c>
      <c r="P33">
        <v>1</v>
      </c>
    </row>
    <row r="34" spans="1:19" ht="20.100000000000001" customHeight="1">
      <c r="A34" s="38" t="s">
        <v>338</v>
      </c>
      <c r="B34" s="38" t="s">
        <v>339</v>
      </c>
      <c r="C34" s="40" t="s">
        <v>315</v>
      </c>
      <c r="D34" s="47">
        <v>0.47</v>
      </c>
      <c r="E34" s="47"/>
      <c r="F34" s="47"/>
      <c r="G34" s="47"/>
      <c r="H34" s="47"/>
      <c r="I34" s="47"/>
      <c r="J34" s="47"/>
      <c r="K34" s="47">
        <f t="shared" si="2"/>
        <v>0</v>
      </c>
      <c r="L34" s="39"/>
      <c r="N34" s="1" t="s">
        <v>0</v>
      </c>
      <c r="O34" s="1" t="s">
        <v>59</v>
      </c>
      <c r="P34">
        <v>1</v>
      </c>
    </row>
    <row r="35" spans="1:19" ht="20.100000000000001" customHeight="1">
      <c r="A35" s="38" t="s">
        <v>361</v>
      </c>
      <c r="B35" s="38" t="s">
        <v>362</v>
      </c>
      <c r="C35" s="40" t="s">
        <v>315</v>
      </c>
      <c r="D35" s="47">
        <v>0.94</v>
      </c>
      <c r="E35" s="47"/>
      <c r="F35" s="47"/>
      <c r="G35" s="47"/>
      <c r="H35" s="47"/>
      <c r="I35" s="47"/>
      <c r="J35" s="47"/>
      <c r="K35" s="47">
        <f t="shared" si="2"/>
        <v>0</v>
      </c>
      <c r="L35" s="38"/>
      <c r="N35" s="1" t="s">
        <v>0</v>
      </c>
      <c r="O35" s="1" t="s">
        <v>59</v>
      </c>
      <c r="P35">
        <v>1</v>
      </c>
    </row>
    <row r="36" spans="1:19" ht="20.100000000000001" customHeight="1">
      <c r="A36" s="38" t="s">
        <v>73</v>
      </c>
      <c r="B36" s="38" t="s">
        <v>382</v>
      </c>
      <c r="C36" s="40" t="s">
        <v>75</v>
      </c>
      <c r="D36" s="47">
        <v>0.85</v>
      </c>
      <c r="E36" s="47"/>
      <c r="F36" s="47"/>
      <c r="G36" s="47"/>
      <c r="H36" s="47"/>
      <c r="I36" s="47"/>
      <c r="J36" s="47"/>
      <c r="K36" s="47">
        <f t="shared" si="2"/>
        <v>0</v>
      </c>
      <c r="L36" s="39"/>
      <c r="N36" s="1" t="s">
        <v>76</v>
      </c>
      <c r="O36" s="1" t="s">
        <v>59</v>
      </c>
      <c r="P36">
        <v>1</v>
      </c>
    </row>
    <row r="37" spans="1:19" ht="20.100000000000001" customHeight="1">
      <c r="A37" s="38" t="s">
        <v>73</v>
      </c>
      <c r="B37" s="38" t="s">
        <v>21</v>
      </c>
      <c r="C37" s="40" t="s">
        <v>75</v>
      </c>
      <c r="D37" s="47">
        <v>0.82</v>
      </c>
      <c r="E37" s="47"/>
      <c r="F37" s="47"/>
      <c r="G37" s="47"/>
      <c r="H37" s="47"/>
      <c r="I37" s="47"/>
      <c r="J37" s="47"/>
      <c r="K37" s="47">
        <f t="shared" si="2"/>
        <v>0</v>
      </c>
      <c r="L37" s="39"/>
      <c r="N37" s="1" t="s">
        <v>76</v>
      </c>
      <c r="O37" s="1" t="s">
        <v>59</v>
      </c>
      <c r="P37">
        <v>1</v>
      </c>
    </row>
    <row r="38" spans="1:19" ht="20.100000000000001" customHeight="1">
      <c r="A38" s="42" t="s">
        <v>31</v>
      </c>
      <c r="B38" s="43"/>
      <c r="C38" s="44"/>
      <c r="D38" s="48"/>
      <c r="E38" s="48"/>
      <c r="F38" s="48">
        <f>ROUNDDOWN(SUMIF(P33:P37, "1", F33:F37), 0)</f>
        <v>0</v>
      </c>
      <c r="G38" s="48"/>
      <c r="H38" s="48">
        <f>ROUNDDOWN(SUMIF(P33:P37, "1", H33:H37), 0)</f>
        <v>0</v>
      </c>
      <c r="I38" s="48"/>
      <c r="J38" s="48">
        <f>ROUNDDOWN(SUMIF(P33:P37, "1", J33:J37), 0)</f>
        <v>0</v>
      </c>
      <c r="K38" s="48">
        <f t="shared" si="2"/>
        <v>0</v>
      </c>
      <c r="L38" s="43"/>
    </row>
    <row r="39" spans="1:19" ht="20.100000000000001" customHeight="1">
      <c r="A39" s="39"/>
      <c r="B39" s="39"/>
      <c r="C39" s="46"/>
      <c r="D39" s="47"/>
      <c r="E39" s="47"/>
      <c r="F39" s="47"/>
      <c r="G39" s="47"/>
      <c r="H39" s="47"/>
      <c r="I39" s="47"/>
      <c r="J39" s="47"/>
      <c r="K39" s="47"/>
      <c r="L39" s="39"/>
    </row>
    <row r="40" spans="1:19" ht="20.100000000000001" customHeight="1">
      <c r="A40" s="144" t="s">
        <v>580</v>
      </c>
      <c r="B40" s="145"/>
      <c r="C40" s="145"/>
      <c r="D40" s="146"/>
      <c r="E40" s="146"/>
      <c r="F40" s="146"/>
      <c r="G40" s="146"/>
      <c r="H40" s="146"/>
      <c r="I40" s="146"/>
      <c r="J40" s="146"/>
      <c r="K40" s="146"/>
      <c r="L40" s="53"/>
    </row>
    <row r="41" spans="1:19" ht="20.100000000000001" customHeight="1">
      <c r="A41" s="38" t="s">
        <v>377</v>
      </c>
      <c r="B41" s="38" t="s">
        <v>378</v>
      </c>
      <c r="C41" s="40" t="s">
        <v>366</v>
      </c>
      <c r="D41" s="47">
        <v>0.16800000000000001</v>
      </c>
      <c r="E41" s="47"/>
      <c r="F41" s="47"/>
      <c r="G41" s="47"/>
      <c r="H41" s="47"/>
      <c r="I41" s="47"/>
      <c r="J41" s="47"/>
      <c r="K41" s="47">
        <f>F41+H41+J41</f>
        <v>0</v>
      </c>
      <c r="L41" s="39"/>
      <c r="N41" s="1" t="s">
        <v>0</v>
      </c>
      <c r="O41" s="1" t="s">
        <v>59</v>
      </c>
      <c r="P41">
        <v>1</v>
      </c>
    </row>
    <row r="42" spans="1:19" ht="20.100000000000001" customHeight="1">
      <c r="A42" s="38" t="s">
        <v>360</v>
      </c>
      <c r="B42" s="39"/>
      <c r="C42" s="40" t="s">
        <v>67</v>
      </c>
      <c r="D42" s="47">
        <v>265</v>
      </c>
      <c r="E42" s="47"/>
      <c r="F42" s="47"/>
      <c r="G42" s="47"/>
      <c r="H42" s="47"/>
      <c r="I42" s="47"/>
      <c r="J42" s="47"/>
      <c r="K42" s="47">
        <f>F42+H42+J42</f>
        <v>0</v>
      </c>
      <c r="L42" s="39"/>
      <c r="N42" s="1" t="s">
        <v>0</v>
      </c>
      <c r="O42" s="1" t="s">
        <v>59</v>
      </c>
      <c r="P42">
        <v>1</v>
      </c>
    </row>
    <row r="43" spans="1:19" ht="20.100000000000001" customHeight="1">
      <c r="A43" s="38" t="s">
        <v>73</v>
      </c>
      <c r="B43" s="38" t="s">
        <v>380</v>
      </c>
      <c r="C43" s="40" t="s">
        <v>75</v>
      </c>
      <c r="D43" s="47">
        <v>0.11899999999999999</v>
      </c>
      <c r="E43" s="47"/>
      <c r="F43" s="47"/>
      <c r="G43" s="47"/>
      <c r="H43" s="47"/>
      <c r="I43" s="47"/>
      <c r="J43" s="47"/>
      <c r="K43" s="47">
        <f>F43+H43+J43</f>
        <v>0</v>
      </c>
      <c r="L43" s="38"/>
      <c r="N43" s="1" t="s">
        <v>76</v>
      </c>
      <c r="O43" s="1" t="s">
        <v>59</v>
      </c>
      <c r="P43">
        <v>1</v>
      </c>
    </row>
    <row r="44" spans="1:19" ht="20.100000000000001" customHeight="1">
      <c r="A44" s="38" t="s">
        <v>404</v>
      </c>
      <c r="B44" s="39" t="str">
        <f>"노무비의 " &amp; M44*100 &amp; "%"</f>
        <v>노무비의 2%</v>
      </c>
      <c r="C44" s="40" t="s">
        <v>1</v>
      </c>
      <c r="D44" s="47">
        <v>1</v>
      </c>
      <c r="E44" s="47"/>
      <c r="F44" s="47"/>
      <c r="G44" s="47"/>
      <c r="H44" s="47"/>
      <c r="I44" s="47"/>
      <c r="J44" s="47"/>
      <c r="K44" s="47">
        <f>F44+H44+J44</f>
        <v>0</v>
      </c>
      <c r="L44" s="39"/>
      <c r="M44">
        <v>0.02</v>
      </c>
      <c r="O44" s="1" t="s">
        <v>59</v>
      </c>
      <c r="P44">
        <v>1</v>
      </c>
      <c r="Q44" s="1" t="s">
        <v>405</v>
      </c>
      <c r="R44" s="1" t="s">
        <v>406</v>
      </c>
      <c r="S44" s="1" t="s">
        <v>71</v>
      </c>
    </row>
    <row r="45" spans="1:19" ht="20.100000000000001" customHeight="1">
      <c r="A45" s="42" t="s">
        <v>31</v>
      </c>
      <c r="B45" s="43"/>
      <c r="C45" s="44"/>
      <c r="D45" s="48"/>
      <c r="E45" s="48"/>
      <c r="F45" s="48">
        <f>ROUNDDOWN(SUMIF(P41:P44, "1", F41:F44), 0)</f>
        <v>0</v>
      </c>
      <c r="G45" s="48"/>
      <c r="H45" s="48">
        <f>ROUNDDOWN(SUMIF(P41:P44, "1", H41:H44), 0)</f>
        <v>0</v>
      </c>
      <c r="I45" s="48"/>
      <c r="J45" s="48">
        <f>ROUNDDOWN(SUMIF(P41:P44, "1", J41:J44), 0)</f>
        <v>0</v>
      </c>
      <c r="K45" s="48">
        <f>F45+H45+J45</f>
        <v>0</v>
      </c>
      <c r="L45" s="43"/>
    </row>
    <row r="46" spans="1:19" ht="20.100000000000001" customHeight="1">
      <c r="A46" s="39"/>
      <c r="B46" s="39"/>
      <c r="C46" s="46"/>
      <c r="D46" s="47"/>
      <c r="E46" s="47"/>
      <c r="F46" s="47"/>
      <c r="G46" s="47"/>
      <c r="H46" s="47"/>
      <c r="I46" s="47"/>
      <c r="J46" s="47"/>
      <c r="K46" s="47"/>
      <c r="L46" s="39"/>
    </row>
    <row r="47" spans="1:19" ht="20.100000000000001" customHeight="1">
      <c r="A47" s="144" t="s">
        <v>581</v>
      </c>
      <c r="B47" s="145"/>
      <c r="C47" s="145"/>
      <c r="D47" s="146"/>
      <c r="E47" s="146"/>
      <c r="F47" s="146"/>
      <c r="G47" s="146"/>
      <c r="H47" s="146"/>
      <c r="I47" s="146"/>
      <c r="J47" s="146"/>
      <c r="K47" s="146"/>
      <c r="L47" s="53"/>
    </row>
    <row r="48" spans="1:19" ht="20.100000000000001" customHeight="1">
      <c r="A48" s="38" t="s">
        <v>377</v>
      </c>
      <c r="B48" s="38" t="s">
        <v>378</v>
      </c>
      <c r="C48" s="40" t="s">
        <v>366</v>
      </c>
      <c r="D48" s="47">
        <v>0.313</v>
      </c>
      <c r="E48" s="47"/>
      <c r="F48" s="47"/>
      <c r="G48" s="47"/>
      <c r="H48" s="47"/>
      <c r="I48" s="47"/>
      <c r="J48" s="47"/>
      <c r="K48" s="47">
        <f>F48+H48+J48</f>
        <v>0</v>
      </c>
      <c r="L48" s="39"/>
      <c r="N48" s="1" t="s">
        <v>0</v>
      </c>
      <c r="O48" s="1" t="s">
        <v>59</v>
      </c>
      <c r="P48">
        <v>1</v>
      </c>
    </row>
    <row r="49" spans="1:18" ht="20.100000000000001" customHeight="1">
      <c r="A49" s="38" t="s">
        <v>360</v>
      </c>
      <c r="B49" s="39"/>
      <c r="C49" s="40" t="s">
        <v>67</v>
      </c>
      <c r="D49" s="47">
        <v>699</v>
      </c>
      <c r="E49" s="47"/>
      <c r="F49" s="47"/>
      <c r="G49" s="47"/>
      <c r="H49" s="47"/>
      <c r="I49" s="47"/>
      <c r="J49" s="47"/>
      <c r="K49" s="47">
        <f>F49+H49+J49</f>
        <v>0</v>
      </c>
      <c r="L49" s="39"/>
      <c r="N49" s="1" t="s">
        <v>0</v>
      </c>
      <c r="O49" s="1" t="s">
        <v>59</v>
      </c>
      <c r="P49">
        <v>1</v>
      </c>
    </row>
    <row r="50" spans="1:18" ht="20.100000000000001" customHeight="1">
      <c r="A50" s="38" t="s">
        <v>73</v>
      </c>
      <c r="B50" s="38" t="s">
        <v>380</v>
      </c>
      <c r="C50" s="40" t="s">
        <v>75</v>
      </c>
      <c r="D50" s="47">
        <v>0.16700000000000001</v>
      </c>
      <c r="E50" s="47"/>
      <c r="F50" s="47"/>
      <c r="G50" s="47"/>
      <c r="H50" s="47"/>
      <c r="I50" s="47"/>
      <c r="J50" s="47"/>
      <c r="K50" s="47">
        <f>F50+H50+J50</f>
        <v>0</v>
      </c>
      <c r="L50" s="38"/>
      <c r="N50" s="1" t="s">
        <v>76</v>
      </c>
      <c r="O50" s="1" t="s">
        <v>59</v>
      </c>
      <c r="P50">
        <v>1</v>
      </c>
    </row>
    <row r="51" spans="1:18" ht="20.100000000000001" customHeight="1">
      <c r="A51" s="38" t="s">
        <v>404</v>
      </c>
      <c r="B51" s="39" t="str">
        <f>"노무비의 " &amp; M51*100 &amp; "%"</f>
        <v>노무비의 2%</v>
      </c>
      <c r="C51" s="40" t="s">
        <v>1</v>
      </c>
      <c r="D51" s="47">
        <v>1</v>
      </c>
      <c r="E51" s="47"/>
      <c r="F51" s="47"/>
      <c r="G51" s="47"/>
      <c r="H51" s="47"/>
      <c r="I51" s="47"/>
      <c r="J51" s="47"/>
      <c r="K51" s="47">
        <f>F51+H51+J51</f>
        <v>0</v>
      </c>
      <c r="L51" s="39"/>
      <c r="M51">
        <v>0.02</v>
      </c>
      <c r="O51" s="1" t="s">
        <v>59</v>
      </c>
      <c r="P51">
        <v>1</v>
      </c>
      <c r="Q51" s="1" t="s">
        <v>405</v>
      </c>
      <c r="R51" s="1" t="s">
        <v>406</v>
      </c>
    </row>
    <row r="52" spans="1:18" ht="20.100000000000001" customHeight="1">
      <c r="A52" s="42" t="s">
        <v>31</v>
      </c>
      <c r="B52" s="43"/>
      <c r="C52" s="44"/>
      <c r="D52" s="48"/>
      <c r="E52" s="48"/>
      <c r="F52" s="48">
        <f>ROUNDDOWN(SUMIF(P48:P51, "1", F48:F51), 0)</f>
        <v>0</v>
      </c>
      <c r="G52" s="48"/>
      <c r="H52" s="48">
        <f>ROUNDDOWN(SUMIF(P48:P51, "1", H48:H51), 0)</f>
        <v>0</v>
      </c>
      <c r="I52" s="48"/>
      <c r="J52" s="48">
        <f>ROUNDDOWN(SUMIF(P48:P51, "1", J48:J51), 0)</f>
        <v>0</v>
      </c>
      <c r="K52" s="48">
        <f>F52+H52+J52</f>
        <v>0</v>
      </c>
      <c r="L52" s="43"/>
    </row>
    <row r="53" spans="1:18" ht="20.100000000000001" customHeight="1">
      <c r="A53" s="39"/>
      <c r="B53" s="39"/>
      <c r="C53" s="46"/>
      <c r="D53" s="47"/>
      <c r="E53" s="47"/>
      <c r="F53" s="47"/>
      <c r="G53" s="47"/>
      <c r="H53" s="47"/>
      <c r="I53" s="47"/>
      <c r="J53" s="47"/>
      <c r="K53" s="47"/>
      <c r="L53" s="39"/>
    </row>
    <row r="54" spans="1:18" ht="20.100000000000001" customHeight="1">
      <c r="A54" s="144" t="s">
        <v>407</v>
      </c>
      <c r="B54" s="145"/>
      <c r="C54" s="145"/>
      <c r="D54" s="146"/>
      <c r="E54" s="146"/>
      <c r="F54" s="146"/>
      <c r="G54" s="146"/>
      <c r="H54" s="146"/>
      <c r="I54" s="146"/>
      <c r="J54" s="146"/>
      <c r="K54" s="146"/>
      <c r="L54" s="37"/>
    </row>
    <row r="55" spans="1:18" ht="20.100000000000001" customHeight="1">
      <c r="A55" s="38" t="s">
        <v>73</v>
      </c>
      <c r="B55" s="38" t="s">
        <v>384</v>
      </c>
      <c r="C55" s="40" t="s">
        <v>75</v>
      </c>
      <c r="D55" s="47">
        <v>6.6660000000000001E-3</v>
      </c>
      <c r="E55" s="47"/>
      <c r="F55" s="47"/>
      <c r="G55" s="47"/>
      <c r="H55" s="47"/>
      <c r="I55" s="47"/>
      <c r="J55" s="47"/>
      <c r="K55" s="47"/>
      <c r="L55" s="39"/>
      <c r="N55" s="1" t="s">
        <v>76</v>
      </c>
      <c r="O55" s="1" t="s">
        <v>59</v>
      </c>
      <c r="P55">
        <v>1</v>
      </c>
    </row>
    <row r="56" spans="1:18" ht="20.100000000000001" customHeight="1">
      <c r="A56" s="38" t="s">
        <v>73</v>
      </c>
      <c r="B56" s="38" t="s">
        <v>21</v>
      </c>
      <c r="C56" s="40" t="s">
        <v>75</v>
      </c>
      <c r="D56" s="47">
        <v>3.333E-3</v>
      </c>
      <c r="E56" s="47"/>
      <c r="F56" s="47"/>
      <c r="G56" s="47"/>
      <c r="H56" s="47"/>
      <c r="I56" s="47"/>
      <c r="J56" s="47"/>
      <c r="K56" s="47"/>
      <c r="L56" s="39"/>
      <c r="N56" s="1" t="s">
        <v>76</v>
      </c>
      <c r="O56" s="1" t="s">
        <v>59</v>
      </c>
      <c r="P56">
        <v>1</v>
      </c>
    </row>
    <row r="57" spans="1:18" ht="20.100000000000001" customHeight="1">
      <c r="A57" s="38" t="s">
        <v>185</v>
      </c>
      <c r="B57" s="38" t="s">
        <v>228</v>
      </c>
      <c r="C57" s="40" t="s">
        <v>209</v>
      </c>
      <c r="D57" s="47">
        <v>2.6665999999999999E-2</v>
      </c>
      <c r="E57" s="47"/>
      <c r="F57" s="47"/>
      <c r="G57" s="47"/>
      <c r="H57" s="47"/>
      <c r="I57" s="47"/>
      <c r="J57" s="47"/>
      <c r="K57" s="47"/>
      <c r="L57" s="38"/>
      <c r="O57" s="1" t="s">
        <v>59</v>
      </c>
      <c r="P57">
        <v>1</v>
      </c>
    </row>
    <row r="58" spans="1:18" ht="20.100000000000001" customHeight="1">
      <c r="A58" s="38" t="s">
        <v>222</v>
      </c>
      <c r="B58" s="38" t="s">
        <v>223</v>
      </c>
      <c r="C58" s="40" t="s">
        <v>209</v>
      </c>
      <c r="D58" s="47">
        <v>2.6665999999999999E-2</v>
      </c>
      <c r="E58" s="47"/>
      <c r="F58" s="47"/>
      <c r="G58" s="47"/>
      <c r="H58" s="47"/>
      <c r="I58" s="47"/>
      <c r="J58" s="47"/>
      <c r="K58" s="47"/>
      <c r="L58" s="38"/>
      <c r="O58" s="1" t="s">
        <v>59</v>
      </c>
      <c r="P58">
        <v>1</v>
      </c>
    </row>
    <row r="59" spans="1:18" ht="20.100000000000001" customHeight="1">
      <c r="A59" s="38" t="s">
        <v>133</v>
      </c>
      <c r="B59" s="38" t="s">
        <v>134</v>
      </c>
      <c r="C59" s="40" t="s">
        <v>209</v>
      </c>
      <c r="D59" s="47">
        <v>2.6665999999999999E-2</v>
      </c>
      <c r="E59" s="47"/>
      <c r="F59" s="47"/>
      <c r="G59" s="47"/>
      <c r="H59" s="47"/>
      <c r="I59" s="47"/>
      <c r="J59" s="47"/>
      <c r="K59" s="47"/>
      <c r="L59" s="38"/>
      <c r="O59" s="1" t="s">
        <v>59</v>
      </c>
      <c r="P59">
        <v>1</v>
      </c>
    </row>
    <row r="60" spans="1:18" ht="20.100000000000001" customHeight="1">
      <c r="A60" s="38" t="s">
        <v>149</v>
      </c>
      <c r="B60" s="38" t="s">
        <v>220</v>
      </c>
      <c r="C60" s="40" t="s">
        <v>209</v>
      </c>
      <c r="D60" s="47">
        <v>1.3332999999999999E-2</v>
      </c>
      <c r="E60" s="47"/>
      <c r="F60" s="47"/>
      <c r="G60" s="47"/>
      <c r="H60" s="47"/>
      <c r="I60" s="47"/>
      <c r="J60" s="47"/>
      <c r="K60" s="47"/>
      <c r="L60" s="38"/>
      <c r="O60" s="1" t="s">
        <v>59</v>
      </c>
      <c r="P60">
        <v>1</v>
      </c>
    </row>
    <row r="61" spans="1:18" ht="20.100000000000001" customHeight="1">
      <c r="A61" s="42" t="s">
        <v>31</v>
      </c>
      <c r="B61" s="43"/>
      <c r="C61" s="44"/>
      <c r="D61" s="48"/>
      <c r="E61" s="48"/>
      <c r="F61" s="48">
        <f>ROUNDDOWN(SUMIF(P55:P60, "1", F55:F60), 0)</f>
        <v>0</v>
      </c>
      <c r="G61" s="48"/>
      <c r="H61" s="48">
        <f>ROUNDDOWN(SUMIF(P55:P60, "1", H55:H60), 0)</f>
        <v>0</v>
      </c>
      <c r="I61" s="48"/>
      <c r="J61" s="48">
        <f>ROUNDDOWN(SUMIF(P55:P60, "1", J55:J60), 0)</f>
        <v>0</v>
      </c>
      <c r="K61" s="48">
        <f t="shared" ref="K61" si="3">F61+H61+J61</f>
        <v>0</v>
      </c>
      <c r="L61" s="43"/>
    </row>
    <row r="62" spans="1:18" ht="20.100000000000001" customHeight="1">
      <c r="A62" s="69"/>
      <c r="B62" s="69"/>
      <c r="C62" s="67"/>
      <c r="D62" s="47"/>
      <c r="E62" s="47"/>
      <c r="F62" s="47"/>
      <c r="G62" s="47"/>
      <c r="H62" s="47"/>
      <c r="I62" s="47"/>
      <c r="J62" s="47"/>
      <c r="K62" s="47"/>
      <c r="L62" s="69"/>
    </row>
    <row r="63" spans="1:18" ht="20.100000000000001" customHeight="1">
      <c r="A63" s="39"/>
      <c r="B63" s="39"/>
      <c r="C63" s="46"/>
      <c r="D63" s="47"/>
      <c r="E63" s="47"/>
      <c r="F63" s="47"/>
      <c r="G63" s="47"/>
      <c r="H63" s="47"/>
      <c r="I63" s="47"/>
      <c r="J63" s="47"/>
      <c r="K63" s="47"/>
      <c r="L63" s="39"/>
    </row>
    <row r="64" spans="1:18" ht="20.100000000000001" customHeight="1">
      <c r="A64" s="39"/>
      <c r="B64" s="39"/>
      <c r="C64" s="46"/>
      <c r="D64" s="47"/>
      <c r="E64" s="47"/>
      <c r="F64" s="47"/>
      <c r="G64" s="47"/>
      <c r="H64" s="47"/>
      <c r="I64" s="47"/>
      <c r="J64" s="47"/>
      <c r="K64" s="47"/>
      <c r="L64" s="39"/>
    </row>
  </sheetData>
  <mergeCells count="18">
    <mergeCell ref="A25:K25"/>
    <mergeCell ref="A32:K32"/>
    <mergeCell ref="A40:K40"/>
    <mergeCell ref="A47:K47"/>
    <mergeCell ref="A54:K54"/>
    <mergeCell ref="A5:K5"/>
    <mergeCell ref="A15:K15"/>
    <mergeCell ref="A1:L1"/>
    <mergeCell ref="A2:L2"/>
    <mergeCell ref="A3:A4"/>
    <mergeCell ref="B3:B4"/>
    <mergeCell ref="C3:C4"/>
    <mergeCell ref="D3:D4"/>
    <mergeCell ref="L3:L4"/>
    <mergeCell ref="E3:F3"/>
    <mergeCell ref="G3:H3"/>
    <mergeCell ref="I3:J3"/>
    <mergeCell ref="K3:K4"/>
  </mergeCells>
  <phoneticPr fontId="1" type="noConversion"/>
  <conditionalFormatting sqref="A5 L5 A6:L61 A63:L64">
    <cfRule type="containsText" dxfId="13" priority="3" stopIfTrue="1" operator="containsText" text=".">
      <formula>NOT(ISERROR(SEARCH(".",A5)))</formula>
    </cfRule>
    <cfRule type="notContainsText" dxfId="12" priority="4" stopIfTrue="1" operator="notContains" text=".">
      <formula>ISERROR(SEARCH(".",A5))</formula>
    </cfRule>
  </conditionalFormatting>
  <conditionalFormatting sqref="A62:L62">
    <cfRule type="containsText" dxfId="11" priority="1" stopIfTrue="1" operator="containsText" text=".">
      <formula>NOT(ISERROR(SEARCH(".",A62)))</formula>
    </cfRule>
    <cfRule type="notContainsText" dxfId="10" priority="2" stopIfTrue="1" operator="notContains" text=".">
      <formula>ISERROR(SEARCH(".",A62))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G23"/>
  <sheetViews>
    <sheetView showZeros="0" view="pageBreakPreview" zoomScale="50" zoomScaleNormal="50" zoomScaleSheetLayoutView="70" workbookViewId="0">
      <selection activeCell="K9" sqref="K9"/>
    </sheetView>
  </sheetViews>
  <sheetFormatPr defaultRowHeight="38.25" customHeight="1"/>
  <cols>
    <col min="1" max="1" width="143.125" style="90" customWidth="1"/>
    <col min="2" max="2" width="7.25" style="90" customWidth="1"/>
    <col min="3" max="3" width="6.125" style="90" customWidth="1"/>
    <col min="4" max="4" width="11.75" style="92" customWidth="1"/>
    <col min="5" max="5" width="7" style="93" customWidth="1"/>
    <col min="6" max="6" width="7.875" style="87" customWidth="1"/>
    <col min="7" max="7" width="2.25" style="87" customWidth="1"/>
    <col min="8" max="10" width="10.5" style="87" customWidth="1"/>
    <col min="11" max="11" width="23.625" style="87" customWidth="1"/>
    <col min="12" max="160" width="9" style="87"/>
    <col min="161" max="16384" width="9" style="88"/>
  </cols>
  <sheetData>
    <row r="1" spans="1:163" ht="38.25" customHeight="1">
      <c r="A1" s="83"/>
      <c r="B1" s="83"/>
      <c r="C1" s="83"/>
      <c r="D1" s="84"/>
      <c r="E1" s="85"/>
      <c r="F1" s="86"/>
      <c r="G1" s="86"/>
      <c r="H1" s="86"/>
      <c r="I1" s="86"/>
      <c r="J1" s="86"/>
      <c r="K1" s="86"/>
    </row>
    <row r="2" spans="1:163" ht="39.75" customHeight="1">
      <c r="A2" s="83"/>
      <c r="B2" s="83"/>
      <c r="C2" s="83"/>
      <c r="D2" s="84"/>
      <c r="E2" s="85"/>
      <c r="F2" s="86"/>
      <c r="G2" s="86"/>
      <c r="H2" s="86"/>
      <c r="I2" s="86"/>
      <c r="J2" s="86"/>
      <c r="K2" s="86"/>
    </row>
    <row r="3" spans="1:163" ht="144" customHeight="1">
      <c r="A3" s="110" t="str">
        <f>표지!A3</f>
        <v>삼성라이온즈볼파크 옥외급수시설 개선 기계설비공사</v>
      </c>
      <c r="B3" s="111"/>
      <c r="C3" s="111"/>
      <c r="D3" s="111"/>
      <c r="E3" s="111"/>
      <c r="F3" s="111"/>
      <c r="G3" s="111"/>
      <c r="H3" s="111"/>
      <c r="I3" s="112"/>
      <c r="J3" s="112"/>
      <c r="K3" s="112"/>
    </row>
    <row r="4" spans="1:163" ht="39.950000000000003" customHeight="1">
      <c r="A4" s="106"/>
      <c r="B4" s="107"/>
      <c r="C4" s="107"/>
      <c r="D4" s="107"/>
      <c r="E4" s="107"/>
      <c r="F4" s="107"/>
      <c r="G4" s="107"/>
      <c r="H4" s="107"/>
      <c r="I4" s="108"/>
      <c r="J4" s="108"/>
      <c r="K4" s="108"/>
    </row>
    <row r="5" spans="1:163" ht="55.5" customHeight="1">
      <c r="A5" s="106" t="s">
        <v>531</v>
      </c>
      <c r="B5" s="107"/>
      <c r="C5" s="107"/>
      <c r="D5" s="107"/>
      <c r="E5" s="107"/>
      <c r="F5" s="107"/>
      <c r="G5" s="107"/>
      <c r="H5" s="107"/>
      <c r="I5" s="108"/>
      <c r="J5" s="108"/>
      <c r="K5" s="108"/>
    </row>
    <row r="6" spans="1:163" ht="39.950000000000003" customHeight="1">
      <c r="A6" s="83"/>
      <c r="B6" s="89"/>
      <c r="C6" s="83"/>
      <c r="D6" s="84"/>
      <c r="E6" s="85"/>
      <c r="F6" s="86"/>
      <c r="G6" s="86"/>
      <c r="H6" s="86"/>
      <c r="I6" s="86"/>
      <c r="J6" s="86"/>
      <c r="K6" s="86"/>
    </row>
    <row r="7" spans="1:163" ht="45.75" customHeight="1">
      <c r="A7" s="83"/>
      <c r="B7" s="89"/>
      <c r="C7" s="83"/>
      <c r="D7" s="84"/>
      <c r="E7" s="85"/>
      <c r="F7" s="86"/>
      <c r="G7" s="86"/>
      <c r="H7" s="86"/>
      <c r="I7" s="86"/>
      <c r="J7" s="86"/>
      <c r="K7" s="86"/>
    </row>
    <row r="8" spans="1:163" ht="261.75" customHeight="1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63" ht="42" customHeight="1">
      <c r="A9" s="106"/>
      <c r="B9" s="109"/>
      <c r="C9" s="109"/>
      <c r="D9" s="109"/>
      <c r="E9" s="109"/>
      <c r="F9" s="109"/>
      <c r="G9" s="109"/>
      <c r="H9" s="109"/>
    </row>
    <row r="10" spans="1:163" ht="42" customHeight="1">
      <c r="A10" s="106"/>
      <c r="B10" s="109"/>
      <c r="C10" s="109"/>
      <c r="D10" s="109"/>
      <c r="E10" s="109"/>
      <c r="F10" s="109"/>
      <c r="G10" s="109"/>
      <c r="H10" s="109"/>
    </row>
    <row r="11" spans="1:163" ht="49.5" customHeight="1">
      <c r="A11" s="105" t="str">
        <f>표지!A11</f>
        <v>2025 , 10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FE11" s="87"/>
      <c r="FF11" s="87"/>
      <c r="FG11" s="87"/>
    </row>
    <row r="12" spans="1:163" ht="39.950000000000003" customHeight="1">
      <c r="A12" s="83"/>
      <c r="B12" s="89"/>
      <c r="C12" s="83"/>
      <c r="D12" s="84"/>
      <c r="E12" s="85"/>
      <c r="F12" s="86"/>
      <c r="G12" s="86"/>
      <c r="H12" s="86"/>
      <c r="I12" s="86"/>
      <c r="J12" s="86"/>
      <c r="K12" s="86"/>
    </row>
    <row r="13" spans="1:163" ht="39.950000000000003" customHeight="1">
      <c r="A13" s="83"/>
      <c r="B13" s="89"/>
      <c r="C13" s="83"/>
      <c r="D13" s="84"/>
      <c r="E13" s="85"/>
      <c r="F13" s="86"/>
      <c r="G13" s="86"/>
      <c r="H13" s="86"/>
      <c r="I13" s="86"/>
      <c r="J13" s="86"/>
      <c r="K13" s="86"/>
    </row>
    <row r="14" spans="1:163" ht="55.5" customHeight="1">
      <c r="A14" s="106">
        <f>표지!A14</f>
        <v>0</v>
      </c>
      <c r="B14" s="107"/>
      <c r="C14" s="107"/>
      <c r="D14" s="107"/>
      <c r="E14" s="107"/>
      <c r="F14" s="107"/>
      <c r="G14" s="107"/>
      <c r="H14" s="107"/>
      <c r="I14" s="108"/>
      <c r="J14" s="108"/>
      <c r="K14" s="108"/>
    </row>
    <row r="15" spans="1:163" ht="39.950000000000003" customHeight="1">
      <c r="A15" s="83"/>
      <c r="B15" s="89"/>
      <c r="C15" s="83"/>
      <c r="D15" s="84"/>
      <c r="E15" s="85"/>
      <c r="F15" s="86"/>
      <c r="G15" s="86"/>
      <c r="H15" s="86"/>
      <c r="I15" s="86"/>
      <c r="J15" s="86"/>
      <c r="K15" s="86"/>
    </row>
    <row r="16" spans="1:163" ht="42" customHeight="1">
      <c r="A16" s="106"/>
      <c r="B16" s="109"/>
      <c r="C16" s="109"/>
      <c r="D16" s="109"/>
      <c r="E16" s="109"/>
      <c r="F16" s="109"/>
      <c r="G16" s="109"/>
      <c r="H16" s="109"/>
    </row>
    <row r="17" spans="2:2" ht="42" customHeight="1">
      <c r="B17" s="91"/>
    </row>
    <row r="18" spans="2:2" ht="85.5" customHeight="1">
      <c r="B18" s="91"/>
    </row>
    <row r="19" spans="2:2" ht="85.5" customHeight="1">
      <c r="B19" s="91"/>
    </row>
    <row r="20" spans="2:2" ht="38.25" customHeight="1">
      <c r="B20" s="91"/>
    </row>
    <row r="21" spans="2:2" ht="38.25" customHeight="1">
      <c r="B21" s="91"/>
    </row>
    <row r="22" spans="2:2" ht="38.25" customHeight="1">
      <c r="B22" s="94"/>
    </row>
    <row r="23" spans="2:2" ht="38.25" customHeight="1">
      <c r="B23" s="95"/>
    </row>
  </sheetData>
  <mergeCells count="9">
    <mergeCell ref="A11:K11"/>
    <mergeCell ref="A14:K14"/>
    <mergeCell ref="A16:H16"/>
    <mergeCell ref="A3:K3"/>
    <mergeCell ref="A4:K4"/>
    <mergeCell ref="A5:K5"/>
    <mergeCell ref="A8:K8"/>
    <mergeCell ref="A9:H9"/>
    <mergeCell ref="A10:H10"/>
  </mergeCells>
  <phoneticPr fontId="1" type="noConversion"/>
  <printOptions horizontalCentered="1" verticalCentered="1"/>
  <pageMargins left="0.2" right="3.937007874015748E-2" top="0.26" bottom="0.19685039370078741" header="0.44" footer="0.35433070866141736"/>
  <pageSetup paperSize="9" scale="55" pageOrder="overThenDown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M64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10" sqref="P10"/>
    </sheetView>
  </sheetViews>
  <sheetFormatPr defaultRowHeight="16.5"/>
  <cols>
    <col min="1" max="2" width="22.625" style="2" customWidth="1"/>
    <col min="3" max="3" width="4.625" style="3" customWidth="1"/>
    <col min="4" max="8" width="8.625" style="4" customWidth="1"/>
    <col min="9" max="9" width="6.625" style="4" customWidth="1"/>
    <col min="10" max="10" width="4.625" style="4" customWidth="1"/>
    <col min="11" max="11" width="8.625" style="4" customWidth="1"/>
    <col min="12" max="12" width="8.625" style="2" customWidth="1"/>
    <col min="13" max="13" width="0" hidden="1" customWidth="1"/>
  </cols>
  <sheetData>
    <row r="1" spans="1:13" ht="30" customHeight="1">
      <c r="A1" s="118" t="s">
        <v>323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3" ht="20.100000000000001" customHeight="1">
      <c r="A2" s="119" t="s">
        <v>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3" ht="20.100000000000001" customHeight="1">
      <c r="A3" s="127" t="s">
        <v>199</v>
      </c>
      <c r="B3" s="127" t="s">
        <v>200</v>
      </c>
      <c r="C3" s="127" t="s">
        <v>9</v>
      </c>
      <c r="D3" s="127" t="s">
        <v>324</v>
      </c>
      <c r="E3" s="127"/>
      <c r="F3" s="127" t="s">
        <v>325</v>
      </c>
      <c r="G3" s="127"/>
      <c r="H3" s="5" t="s">
        <v>326</v>
      </c>
      <c r="I3" s="127" t="s">
        <v>327</v>
      </c>
      <c r="J3" s="127"/>
      <c r="K3" s="127" t="s">
        <v>328</v>
      </c>
      <c r="L3" s="127" t="s">
        <v>329</v>
      </c>
    </row>
    <row r="4" spans="1:13" ht="20.100000000000001" customHeight="1">
      <c r="A4" s="127"/>
      <c r="B4" s="127"/>
      <c r="C4" s="127"/>
      <c r="D4" s="5" t="s">
        <v>330</v>
      </c>
      <c r="E4" s="5" t="s">
        <v>331</v>
      </c>
      <c r="F4" s="5" t="s">
        <v>330</v>
      </c>
      <c r="G4" s="5" t="s">
        <v>331</v>
      </c>
      <c r="H4" s="5" t="s">
        <v>330</v>
      </c>
      <c r="I4" s="5" t="s">
        <v>330</v>
      </c>
      <c r="J4" s="5" t="s">
        <v>331</v>
      </c>
      <c r="K4" s="127"/>
      <c r="L4" s="127"/>
      <c r="M4" t="s">
        <v>49</v>
      </c>
    </row>
    <row r="5" spans="1:13" ht="20.100000000000001" customHeight="1">
      <c r="A5" s="38" t="s">
        <v>65</v>
      </c>
      <c r="B5" s="38" t="s">
        <v>66</v>
      </c>
      <c r="C5" s="40" t="s">
        <v>67</v>
      </c>
      <c r="D5" s="41"/>
      <c r="E5" s="51"/>
      <c r="F5" s="41"/>
      <c r="G5" s="41"/>
      <c r="H5" s="41"/>
      <c r="I5" s="41"/>
      <c r="J5" s="41"/>
      <c r="K5" s="41"/>
      <c r="L5" s="39"/>
    </row>
    <row r="6" spans="1:13" ht="20.100000000000001" customHeight="1">
      <c r="A6" s="38" t="s">
        <v>332</v>
      </c>
      <c r="B6" s="103" t="s">
        <v>570</v>
      </c>
      <c r="C6" s="40" t="s">
        <v>23</v>
      </c>
      <c r="D6" s="41"/>
      <c r="E6" s="51"/>
      <c r="F6" s="41"/>
      <c r="G6" s="51"/>
      <c r="H6" s="41"/>
      <c r="I6" s="41"/>
      <c r="J6" s="41"/>
      <c r="K6" s="41"/>
      <c r="L6" s="39"/>
    </row>
    <row r="7" spans="1:13" ht="20.100000000000001" customHeight="1">
      <c r="A7" s="38" t="s">
        <v>332</v>
      </c>
      <c r="B7" s="103" t="s">
        <v>571</v>
      </c>
      <c r="C7" s="40" t="s">
        <v>23</v>
      </c>
      <c r="D7" s="41"/>
      <c r="E7" s="51"/>
      <c r="F7" s="41"/>
      <c r="G7" s="51"/>
      <c r="H7" s="41"/>
      <c r="I7" s="41"/>
      <c r="J7" s="41"/>
      <c r="K7" s="41"/>
      <c r="L7" s="39"/>
    </row>
    <row r="8" spans="1:13" ht="20.100000000000001" customHeight="1">
      <c r="A8" s="38" t="s">
        <v>121</v>
      </c>
      <c r="B8" s="38" t="s">
        <v>122</v>
      </c>
      <c r="C8" s="40" t="s">
        <v>67</v>
      </c>
      <c r="D8" s="41"/>
      <c r="E8" s="51"/>
      <c r="F8" s="41"/>
      <c r="G8" s="51"/>
      <c r="H8" s="41"/>
      <c r="I8" s="41"/>
      <c r="J8" s="41"/>
      <c r="K8" s="41"/>
      <c r="L8" s="39"/>
    </row>
    <row r="9" spans="1:13" ht="20.100000000000001" customHeight="1">
      <c r="A9" s="38" t="s">
        <v>333</v>
      </c>
      <c r="B9" s="38" t="s">
        <v>334</v>
      </c>
      <c r="C9" s="40" t="s">
        <v>335</v>
      </c>
      <c r="D9" s="41"/>
      <c r="E9" s="41"/>
      <c r="F9" s="41"/>
      <c r="G9" s="51"/>
      <c r="H9" s="41"/>
      <c r="I9" s="41"/>
      <c r="J9" s="41"/>
      <c r="K9" s="41"/>
      <c r="L9" s="39"/>
    </row>
    <row r="10" spans="1:13" ht="20.100000000000001" customHeight="1">
      <c r="A10" s="38" t="s">
        <v>336</v>
      </c>
      <c r="B10" s="38" t="s">
        <v>337</v>
      </c>
      <c r="C10" s="40" t="s">
        <v>27</v>
      </c>
      <c r="D10" s="41"/>
      <c r="E10" s="51"/>
      <c r="F10" s="41"/>
      <c r="G10" s="41"/>
      <c r="H10" s="41"/>
      <c r="I10" s="41"/>
      <c r="J10" s="41"/>
      <c r="K10" s="41"/>
      <c r="L10" s="39"/>
    </row>
    <row r="11" spans="1:13" ht="20.100000000000001" customHeight="1">
      <c r="A11" s="38" t="s">
        <v>338</v>
      </c>
      <c r="B11" s="38" t="s">
        <v>339</v>
      </c>
      <c r="C11" s="40" t="s">
        <v>315</v>
      </c>
      <c r="D11" s="41"/>
      <c r="E11" s="51"/>
      <c r="F11" s="41"/>
      <c r="G11" s="51"/>
      <c r="H11" s="41"/>
      <c r="I11" s="41"/>
      <c r="J11" s="41"/>
      <c r="K11" s="41"/>
      <c r="L11" s="39"/>
    </row>
    <row r="12" spans="1:13" ht="20.100000000000001" customHeight="1">
      <c r="A12" s="38" t="s">
        <v>340</v>
      </c>
      <c r="B12" s="38" t="s">
        <v>341</v>
      </c>
      <c r="C12" s="40" t="s">
        <v>23</v>
      </c>
      <c r="D12" s="41"/>
      <c r="E12" s="41"/>
      <c r="F12" s="41"/>
      <c r="G12" s="51"/>
      <c r="H12" s="41"/>
      <c r="I12" s="41"/>
      <c r="J12" s="41"/>
      <c r="K12" s="41"/>
      <c r="L12" s="39"/>
    </row>
    <row r="13" spans="1:13" ht="20.100000000000001" customHeight="1">
      <c r="A13" s="38" t="s">
        <v>28</v>
      </c>
      <c r="B13" s="103" t="s">
        <v>559</v>
      </c>
      <c r="C13" s="40" t="s">
        <v>27</v>
      </c>
      <c r="D13" s="41"/>
      <c r="E13" s="51"/>
      <c r="F13" s="41"/>
      <c r="G13" s="41"/>
      <c r="H13" s="41"/>
      <c r="I13" s="41"/>
      <c r="J13" s="41"/>
      <c r="K13" s="41"/>
      <c r="L13" s="39"/>
    </row>
    <row r="14" spans="1:13" ht="20.100000000000001" customHeight="1">
      <c r="A14" s="38" t="s">
        <v>28</v>
      </c>
      <c r="B14" s="103" t="s">
        <v>572</v>
      </c>
      <c r="C14" s="40" t="s">
        <v>27</v>
      </c>
      <c r="D14" s="41"/>
      <c r="E14" s="51"/>
      <c r="F14" s="41"/>
      <c r="G14" s="41"/>
      <c r="H14" s="41"/>
      <c r="I14" s="41"/>
      <c r="J14" s="41"/>
      <c r="K14" s="41"/>
      <c r="L14" s="39"/>
    </row>
    <row r="15" spans="1:13" ht="20.100000000000001" customHeight="1">
      <c r="A15" s="38" t="s">
        <v>29</v>
      </c>
      <c r="B15" s="38" t="s">
        <v>30</v>
      </c>
      <c r="C15" s="40" t="s">
        <v>27</v>
      </c>
      <c r="D15" s="41"/>
      <c r="E15" s="41"/>
      <c r="F15" s="41"/>
      <c r="G15" s="41"/>
      <c r="H15" s="41"/>
      <c r="I15" s="41"/>
      <c r="J15" s="41"/>
      <c r="K15" s="41"/>
      <c r="L15" s="39"/>
    </row>
    <row r="16" spans="1:13" ht="20.100000000000001" customHeight="1">
      <c r="A16" s="38" t="s">
        <v>342</v>
      </c>
      <c r="B16" s="38" t="s">
        <v>343</v>
      </c>
      <c r="C16" s="40" t="s">
        <v>23</v>
      </c>
      <c r="D16" s="41"/>
      <c r="E16" s="51"/>
      <c r="F16" s="41"/>
      <c r="G16" s="51"/>
      <c r="H16" s="41"/>
      <c r="I16" s="41"/>
      <c r="J16" s="41"/>
      <c r="K16" s="41"/>
      <c r="L16" s="39"/>
    </row>
    <row r="17" spans="1:12" ht="20.100000000000001" customHeight="1">
      <c r="A17" s="38" t="s">
        <v>25</v>
      </c>
      <c r="B17" s="38" t="s">
        <v>26</v>
      </c>
      <c r="C17" s="40" t="s">
        <v>27</v>
      </c>
      <c r="D17" s="41"/>
      <c r="E17" s="51"/>
      <c r="F17" s="41"/>
      <c r="G17" s="51"/>
      <c r="H17" s="41"/>
      <c r="I17" s="41"/>
      <c r="J17" s="41"/>
      <c r="K17" s="41"/>
      <c r="L17" s="39"/>
    </row>
    <row r="18" spans="1:12" ht="20.100000000000001" customHeight="1">
      <c r="A18" s="38" t="s">
        <v>344</v>
      </c>
      <c r="B18" s="38" t="s">
        <v>345</v>
      </c>
      <c r="C18" s="40" t="s">
        <v>346</v>
      </c>
      <c r="D18" s="41"/>
      <c r="E18" s="51"/>
      <c r="F18" s="41"/>
      <c r="G18" s="51"/>
      <c r="H18" s="41"/>
      <c r="I18" s="41"/>
      <c r="J18" s="41"/>
      <c r="K18" s="41"/>
      <c r="L18" s="39"/>
    </row>
    <row r="19" spans="1:12" ht="20.100000000000001" customHeight="1">
      <c r="A19" s="38" t="s">
        <v>22</v>
      </c>
      <c r="B19" s="103" t="s">
        <v>573</v>
      </c>
      <c r="C19" s="40" t="s">
        <v>23</v>
      </c>
      <c r="D19" s="41"/>
      <c r="E19" s="51"/>
      <c r="F19" s="41"/>
      <c r="G19" s="51"/>
      <c r="H19" s="41"/>
      <c r="I19" s="41"/>
      <c r="J19" s="41"/>
      <c r="K19" s="41"/>
      <c r="L19" s="39"/>
    </row>
    <row r="20" spans="1:12" ht="20.100000000000001" customHeight="1">
      <c r="A20" s="38" t="s">
        <v>22</v>
      </c>
      <c r="B20" s="103" t="s">
        <v>544</v>
      </c>
      <c r="C20" s="40" t="s">
        <v>23</v>
      </c>
      <c r="D20" s="41"/>
      <c r="E20" s="51"/>
      <c r="F20" s="41"/>
      <c r="G20" s="51"/>
      <c r="H20" s="41"/>
      <c r="I20" s="41"/>
      <c r="J20" s="41"/>
      <c r="K20" s="41"/>
      <c r="L20" s="39"/>
    </row>
    <row r="21" spans="1:12" ht="20.100000000000001" customHeight="1">
      <c r="A21" s="38" t="s">
        <v>347</v>
      </c>
      <c r="B21" s="38" t="s">
        <v>348</v>
      </c>
      <c r="C21" s="40" t="s">
        <v>27</v>
      </c>
      <c r="D21" s="41"/>
      <c r="E21" s="51"/>
      <c r="F21" s="41"/>
      <c r="G21" s="51"/>
      <c r="H21" s="41"/>
      <c r="I21" s="41"/>
      <c r="J21" s="41"/>
      <c r="K21" s="41"/>
      <c r="L21" s="39"/>
    </row>
    <row r="22" spans="1:12" ht="20.100000000000001" customHeight="1">
      <c r="A22" s="38" t="s">
        <v>347</v>
      </c>
      <c r="B22" s="38" t="s">
        <v>349</v>
      </c>
      <c r="C22" s="40" t="s">
        <v>27</v>
      </c>
      <c r="D22" s="41"/>
      <c r="E22" s="51"/>
      <c r="F22" s="41"/>
      <c r="G22" s="51"/>
      <c r="H22" s="41"/>
      <c r="I22" s="41"/>
      <c r="J22" s="41"/>
      <c r="K22" s="41"/>
      <c r="L22" s="39"/>
    </row>
    <row r="23" spans="1:12" ht="20.100000000000001" customHeight="1">
      <c r="A23" s="38" t="s">
        <v>347</v>
      </c>
      <c r="B23" s="38" t="s">
        <v>350</v>
      </c>
      <c r="C23" s="40" t="s">
        <v>27</v>
      </c>
      <c r="D23" s="41"/>
      <c r="E23" s="51"/>
      <c r="F23" s="41"/>
      <c r="G23" s="51"/>
      <c r="H23" s="41"/>
      <c r="I23" s="41"/>
      <c r="J23" s="41"/>
      <c r="K23" s="41"/>
      <c r="L23" s="39"/>
    </row>
    <row r="24" spans="1:12" ht="20.100000000000001" customHeight="1">
      <c r="A24" s="38" t="s">
        <v>347</v>
      </c>
      <c r="B24" s="38" t="s">
        <v>351</v>
      </c>
      <c r="C24" s="40" t="s">
        <v>27</v>
      </c>
      <c r="D24" s="41"/>
      <c r="E24" s="51"/>
      <c r="F24" s="41"/>
      <c r="G24" s="51"/>
      <c r="H24" s="41"/>
      <c r="I24" s="41"/>
      <c r="J24" s="41"/>
      <c r="K24" s="41"/>
      <c r="L24" s="39"/>
    </row>
    <row r="25" spans="1:12" ht="20.100000000000001" customHeight="1">
      <c r="A25" s="38" t="s">
        <v>352</v>
      </c>
      <c r="B25" s="103" t="s">
        <v>574</v>
      </c>
      <c r="C25" s="40" t="s">
        <v>27</v>
      </c>
      <c r="D25" s="41"/>
      <c r="E25" s="51"/>
      <c r="F25" s="41"/>
      <c r="G25" s="51"/>
      <c r="H25" s="41"/>
      <c r="I25" s="41"/>
      <c r="J25" s="41"/>
      <c r="K25" s="41"/>
      <c r="L25" s="39"/>
    </row>
    <row r="26" spans="1:12" ht="20.100000000000001" customHeight="1">
      <c r="A26" s="38" t="s">
        <v>352</v>
      </c>
      <c r="B26" s="103" t="s">
        <v>561</v>
      </c>
      <c r="C26" s="40" t="s">
        <v>27</v>
      </c>
      <c r="D26" s="41"/>
      <c r="E26" s="51"/>
      <c r="F26" s="41"/>
      <c r="G26" s="51"/>
      <c r="H26" s="41"/>
      <c r="I26" s="41"/>
      <c r="J26" s="41"/>
      <c r="K26" s="41"/>
      <c r="L26" s="39"/>
    </row>
    <row r="27" spans="1:12" ht="20.100000000000001" customHeight="1">
      <c r="A27" s="38" t="s">
        <v>352</v>
      </c>
      <c r="B27" s="103" t="s">
        <v>563</v>
      </c>
      <c r="C27" s="40" t="s">
        <v>27</v>
      </c>
      <c r="D27" s="41"/>
      <c r="E27" s="51"/>
      <c r="F27" s="41"/>
      <c r="G27" s="51"/>
      <c r="H27" s="41"/>
      <c r="I27" s="41"/>
      <c r="J27" s="41"/>
      <c r="K27" s="41"/>
      <c r="L27" s="39"/>
    </row>
    <row r="28" spans="1:12" ht="20.100000000000001" customHeight="1">
      <c r="A28" s="38" t="s">
        <v>352</v>
      </c>
      <c r="B28" s="103" t="s">
        <v>550</v>
      </c>
      <c r="C28" s="40" t="s">
        <v>27</v>
      </c>
      <c r="D28" s="41"/>
      <c r="E28" s="51"/>
      <c r="F28" s="41"/>
      <c r="G28" s="51"/>
      <c r="H28" s="41"/>
      <c r="I28" s="41"/>
      <c r="J28" s="41"/>
      <c r="K28" s="41"/>
      <c r="L28" s="39"/>
    </row>
    <row r="29" spans="1:12" ht="20.100000000000001" customHeight="1">
      <c r="A29" s="38" t="s">
        <v>353</v>
      </c>
      <c r="B29" s="38" t="s">
        <v>354</v>
      </c>
      <c r="C29" s="40" t="s">
        <v>355</v>
      </c>
      <c r="D29" s="41"/>
      <c r="E29" s="51"/>
      <c r="F29" s="41"/>
      <c r="G29" s="51"/>
      <c r="H29" s="41"/>
      <c r="I29" s="41"/>
      <c r="J29" s="41"/>
      <c r="K29" s="41"/>
      <c r="L29" s="38" t="s">
        <v>356</v>
      </c>
    </row>
    <row r="30" spans="1:12" ht="20.100000000000001" customHeight="1">
      <c r="A30" s="38" t="s">
        <v>357</v>
      </c>
      <c r="B30" s="38" t="s">
        <v>358</v>
      </c>
      <c r="C30" s="40" t="s">
        <v>359</v>
      </c>
      <c r="D30" s="41"/>
      <c r="E30" s="51"/>
      <c r="F30" s="41"/>
      <c r="G30" s="51"/>
      <c r="H30" s="41"/>
      <c r="I30" s="41"/>
      <c r="J30" s="41"/>
      <c r="K30" s="41"/>
      <c r="L30" s="39"/>
    </row>
    <row r="31" spans="1:12" ht="20.100000000000001" customHeight="1">
      <c r="A31" s="38" t="s">
        <v>360</v>
      </c>
      <c r="B31" s="39"/>
      <c r="C31" s="40" t="s">
        <v>67</v>
      </c>
      <c r="D31" s="41"/>
      <c r="E31" s="51"/>
      <c r="F31" s="41"/>
      <c r="G31" s="51"/>
      <c r="H31" s="41"/>
      <c r="I31" s="41"/>
      <c r="J31" s="41"/>
      <c r="K31" s="41"/>
      <c r="L31" s="39"/>
    </row>
    <row r="32" spans="1:12" ht="20.100000000000001" customHeight="1">
      <c r="A32" s="38" t="s">
        <v>361</v>
      </c>
      <c r="B32" s="38" t="s">
        <v>362</v>
      </c>
      <c r="C32" s="40" t="s">
        <v>315</v>
      </c>
      <c r="D32" s="41"/>
      <c r="E32" s="51"/>
      <c r="F32" s="41"/>
      <c r="G32" s="51"/>
      <c r="H32" s="41"/>
      <c r="I32" s="41"/>
      <c r="J32" s="41"/>
      <c r="K32" s="41"/>
      <c r="L32" s="38" t="s">
        <v>363</v>
      </c>
    </row>
    <row r="33" spans="1:12" ht="20.100000000000001" customHeight="1">
      <c r="A33" s="38" t="s">
        <v>364</v>
      </c>
      <c r="B33" s="38" t="s">
        <v>365</v>
      </c>
      <c r="C33" s="40" t="s">
        <v>366</v>
      </c>
      <c r="D33" s="41"/>
      <c r="E33" s="51"/>
      <c r="F33" s="41"/>
      <c r="G33" s="51"/>
      <c r="H33" s="41"/>
      <c r="I33" s="41"/>
      <c r="J33" s="41"/>
      <c r="K33" s="41"/>
      <c r="L33" s="39"/>
    </row>
    <row r="34" spans="1:12" ht="20.100000000000001" customHeight="1">
      <c r="A34" s="38" t="s">
        <v>367</v>
      </c>
      <c r="B34" s="38" t="s">
        <v>368</v>
      </c>
      <c r="C34" s="40" t="s">
        <v>27</v>
      </c>
      <c r="D34" s="41"/>
      <c r="E34" s="41"/>
      <c r="F34" s="41"/>
      <c r="G34" s="51"/>
      <c r="H34" s="41"/>
      <c r="I34" s="41"/>
      <c r="J34" s="41"/>
      <c r="K34" s="41"/>
      <c r="L34" s="39"/>
    </row>
    <row r="35" spans="1:12" ht="20.100000000000001" customHeight="1">
      <c r="A35" s="38" t="s">
        <v>369</v>
      </c>
      <c r="B35" s="38" t="s">
        <v>213</v>
      </c>
      <c r="C35" s="40" t="s">
        <v>27</v>
      </c>
      <c r="D35" s="41"/>
      <c r="E35" s="41"/>
      <c r="F35" s="41"/>
      <c r="G35" s="41"/>
      <c r="H35" s="41"/>
      <c r="I35" s="41"/>
      <c r="J35" s="41"/>
      <c r="K35" s="41"/>
      <c r="L35" s="39"/>
    </row>
    <row r="36" spans="1:12" ht="20.100000000000001" customHeight="1">
      <c r="A36" s="38" t="s">
        <v>370</v>
      </c>
      <c r="B36" s="38" t="s">
        <v>371</v>
      </c>
      <c r="C36" s="40" t="s">
        <v>372</v>
      </c>
      <c r="D36" s="41"/>
      <c r="E36" s="51"/>
      <c r="F36" s="41"/>
      <c r="G36" s="51"/>
      <c r="H36" s="41"/>
      <c r="I36" s="41"/>
      <c r="J36" s="41"/>
      <c r="K36" s="41"/>
      <c r="L36" s="39"/>
    </row>
    <row r="37" spans="1:12" ht="20.100000000000001" customHeight="1">
      <c r="A37" s="38" t="s">
        <v>373</v>
      </c>
      <c r="B37" s="103" t="s">
        <v>558</v>
      </c>
      <c r="C37" s="40" t="s">
        <v>346</v>
      </c>
      <c r="D37" s="41"/>
      <c r="E37" s="41"/>
      <c r="F37" s="41"/>
      <c r="G37" s="51"/>
      <c r="H37" s="41"/>
      <c r="I37" s="41"/>
      <c r="J37" s="41"/>
      <c r="K37" s="41"/>
      <c r="L37" s="39"/>
    </row>
    <row r="38" spans="1:12" ht="20.100000000000001" customHeight="1">
      <c r="A38" s="38" t="s">
        <v>373</v>
      </c>
      <c r="B38" s="103" t="s">
        <v>567</v>
      </c>
      <c r="C38" s="40" t="s">
        <v>346</v>
      </c>
      <c r="D38" s="41"/>
      <c r="E38" s="41"/>
      <c r="F38" s="41"/>
      <c r="G38" s="51"/>
      <c r="H38" s="41"/>
      <c r="I38" s="41"/>
      <c r="J38" s="41"/>
      <c r="K38" s="41"/>
      <c r="L38" s="39"/>
    </row>
    <row r="39" spans="1:12" ht="20.100000000000001" customHeight="1">
      <c r="A39" s="38" t="s">
        <v>375</v>
      </c>
      <c r="B39" s="103" t="s">
        <v>557</v>
      </c>
      <c r="C39" s="40" t="s">
        <v>346</v>
      </c>
      <c r="D39" s="41"/>
      <c r="E39" s="51"/>
      <c r="F39" s="41"/>
      <c r="G39" s="51"/>
      <c r="H39" s="41"/>
      <c r="I39" s="41"/>
      <c r="J39" s="41"/>
      <c r="K39" s="41"/>
      <c r="L39" s="39"/>
    </row>
    <row r="40" spans="1:12" ht="20.100000000000001" customHeight="1">
      <c r="A40" s="38" t="s">
        <v>375</v>
      </c>
      <c r="B40" s="103" t="s">
        <v>575</v>
      </c>
      <c r="C40" s="40" t="s">
        <v>346</v>
      </c>
      <c r="D40" s="41"/>
      <c r="E40" s="51"/>
      <c r="F40" s="41"/>
      <c r="G40" s="51"/>
      <c r="H40" s="41"/>
      <c r="I40" s="41"/>
      <c r="J40" s="41"/>
      <c r="K40" s="41"/>
      <c r="L40" s="39"/>
    </row>
    <row r="41" spans="1:12" ht="20.100000000000001" customHeight="1">
      <c r="A41" s="38" t="s">
        <v>377</v>
      </c>
      <c r="B41" s="38" t="s">
        <v>378</v>
      </c>
      <c r="C41" s="40" t="s">
        <v>366</v>
      </c>
      <c r="D41" s="41"/>
      <c r="E41" s="51"/>
      <c r="F41" s="41"/>
      <c r="G41" s="51"/>
      <c r="H41" s="41"/>
      <c r="I41" s="41"/>
      <c r="J41" s="41"/>
      <c r="K41" s="41"/>
      <c r="L41" s="39"/>
    </row>
    <row r="42" spans="1:12" ht="20.100000000000001" customHeight="1">
      <c r="A42" s="38" t="s">
        <v>73</v>
      </c>
      <c r="B42" s="38" t="s">
        <v>74</v>
      </c>
      <c r="C42" s="40" t="s">
        <v>75</v>
      </c>
      <c r="D42" s="41"/>
      <c r="E42" s="41"/>
      <c r="F42" s="41"/>
      <c r="G42" s="41"/>
      <c r="H42" s="41"/>
      <c r="I42" s="41"/>
      <c r="J42" s="51"/>
      <c r="K42" s="41"/>
      <c r="L42" s="39"/>
    </row>
    <row r="43" spans="1:12" ht="20.100000000000001" customHeight="1">
      <c r="A43" s="38" t="s">
        <v>73</v>
      </c>
      <c r="B43" s="38" t="s">
        <v>20</v>
      </c>
      <c r="C43" s="40" t="s">
        <v>75</v>
      </c>
      <c r="D43" s="41"/>
      <c r="E43" s="41"/>
      <c r="F43" s="41"/>
      <c r="G43" s="41"/>
      <c r="H43" s="41"/>
      <c r="I43" s="41"/>
      <c r="J43" s="51"/>
      <c r="K43" s="41"/>
      <c r="L43" s="39"/>
    </row>
    <row r="44" spans="1:12" ht="20.100000000000001" customHeight="1">
      <c r="A44" s="38" t="s">
        <v>73</v>
      </c>
      <c r="B44" s="38" t="s">
        <v>379</v>
      </c>
      <c r="C44" s="40" t="s">
        <v>75</v>
      </c>
      <c r="D44" s="41"/>
      <c r="E44" s="41"/>
      <c r="F44" s="41"/>
      <c r="G44" s="41"/>
      <c r="H44" s="41"/>
      <c r="I44" s="41"/>
      <c r="J44" s="51"/>
      <c r="K44" s="41"/>
      <c r="L44" s="39"/>
    </row>
    <row r="45" spans="1:12" ht="20.100000000000001" customHeight="1">
      <c r="A45" s="38" t="s">
        <v>73</v>
      </c>
      <c r="B45" s="38" t="s">
        <v>21</v>
      </c>
      <c r="C45" s="40" t="s">
        <v>75</v>
      </c>
      <c r="D45" s="41"/>
      <c r="E45" s="41"/>
      <c r="F45" s="41"/>
      <c r="G45" s="41"/>
      <c r="H45" s="41"/>
      <c r="I45" s="41"/>
      <c r="J45" s="51"/>
      <c r="K45" s="41"/>
      <c r="L45" s="39"/>
    </row>
    <row r="46" spans="1:12" ht="20.100000000000001" customHeight="1">
      <c r="A46" s="38" t="s">
        <v>73</v>
      </c>
      <c r="B46" s="38" t="s">
        <v>380</v>
      </c>
      <c r="C46" s="40" t="s">
        <v>75</v>
      </c>
      <c r="D46" s="41"/>
      <c r="E46" s="41"/>
      <c r="F46" s="41"/>
      <c r="G46" s="41"/>
      <c r="H46" s="41"/>
      <c r="I46" s="41"/>
      <c r="J46" s="51"/>
      <c r="K46" s="41"/>
      <c r="L46" s="38" t="s">
        <v>381</v>
      </c>
    </row>
    <row r="47" spans="1:12" ht="20.100000000000001" customHeight="1">
      <c r="A47" s="38" t="s">
        <v>73</v>
      </c>
      <c r="B47" s="38" t="s">
        <v>166</v>
      </c>
      <c r="C47" s="40" t="s">
        <v>75</v>
      </c>
      <c r="D47" s="41"/>
      <c r="E47" s="41"/>
      <c r="F47" s="41"/>
      <c r="G47" s="41"/>
      <c r="H47" s="41"/>
      <c r="I47" s="41"/>
      <c r="J47" s="51"/>
      <c r="K47" s="41"/>
      <c r="L47" s="38" t="s">
        <v>167</v>
      </c>
    </row>
    <row r="48" spans="1:12" ht="20.100000000000001" customHeight="1">
      <c r="A48" s="38" t="s">
        <v>73</v>
      </c>
      <c r="B48" s="38" t="s">
        <v>382</v>
      </c>
      <c r="C48" s="40" t="s">
        <v>75</v>
      </c>
      <c r="D48" s="41"/>
      <c r="E48" s="41"/>
      <c r="F48" s="41"/>
      <c r="G48" s="41"/>
      <c r="H48" s="41"/>
      <c r="I48" s="41"/>
      <c r="J48" s="51"/>
      <c r="K48" s="41"/>
      <c r="L48" s="39"/>
    </row>
    <row r="49" spans="1:12" ht="20.100000000000001" customHeight="1">
      <c r="A49" s="38" t="s">
        <v>73</v>
      </c>
      <c r="B49" s="38" t="s">
        <v>383</v>
      </c>
      <c r="C49" s="40" t="s">
        <v>75</v>
      </c>
      <c r="D49" s="41"/>
      <c r="E49" s="41"/>
      <c r="F49" s="41"/>
      <c r="G49" s="41"/>
      <c r="H49" s="41"/>
      <c r="I49" s="41"/>
      <c r="J49" s="51"/>
      <c r="K49" s="41"/>
      <c r="L49" s="39"/>
    </row>
    <row r="50" spans="1:12" ht="20.100000000000001" customHeight="1">
      <c r="A50" s="38" t="s">
        <v>73</v>
      </c>
      <c r="B50" s="38" t="s">
        <v>384</v>
      </c>
      <c r="C50" s="40" t="s">
        <v>75</v>
      </c>
      <c r="D50" s="41"/>
      <c r="E50" s="41"/>
      <c r="F50" s="41"/>
      <c r="G50" s="41"/>
      <c r="H50" s="41"/>
      <c r="I50" s="41"/>
      <c r="J50" s="51"/>
      <c r="K50" s="41"/>
      <c r="L50" s="39"/>
    </row>
    <row r="51" spans="1:12" ht="20.100000000000001" customHeight="1">
      <c r="A51" s="38" t="s">
        <v>73</v>
      </c>
      <c r="B51" s="38" t="s">
        <v>152</v>
      </c>
      <c r="C51" s="40" t="s">
        <v>75</v>
      </c>
      <c r="D51" s="41"/>
      <c r="E51" s="41"/>
      <c r="F51" s="41"/>
      <c r="G51" s="41"/>
      <c r="H51" s="41"/>
      <c r="I51" s="41"/>
      <c r="J51" s="51"/>
      <c r="K51" s="41"/>
      <c r="L51" s="39"/>
    </row>
    <row r="52" spans="1:12" ht="20.100000000000001" customHeight="1">
      <c r="A52" s="38" t="s">
        <v>54</v>
      </c>
      <c r="B52" s="38" t="s">
        <v>55</v>
      </c>
      <c r="C52" s="40" t="s">
        <v>56</v>
      </c>
      <c r="D52" s="41"/>
      <c r="E52" s="41"/>
      <c r="F52" s="41"/>
      <c r="G52" s="41"/>
      <c r="H52" s="41"/>
      <c r="I52" s="41"/>
      <c r="J52" s="41"/>
      <c r="K52" s="41"/>
      <c r="L52" s="38" t="s">
        <v>57</v>
      </c>
    </row>
    <row r="53" spans="1:12" ht="20.100000000000001" customHeight="1">
      <c r="A53" s="38" t="s">
        <v>105</v>
      </c>
      <c r="B53" s="38" t="s">
        <v>55</v>
      </c>
      <c r="C53" s="40" t="s">
        <v>56</v>
      </c>
      <c r="D53" s="41"/>
      <c r="E53" s="41"/>
      <c r="F53" s="41"/>
      <c r="G53" s="41"/>
      <c r="H53" s="41"/>
      <c r="I53" s="41"/>
      <c r="J53" s="41"/>
      <c r="K53" s="41"/>
      <c r="L53" s="38" t="s">
        <v>57</v>
      </c>
    </row>
    <row r="54" spans="1:12" ht="20.100000000000001" customHeight="1">
      <c r="A54" s="38" t="s">
        <v>60</v>
      </c>
      <c r="B54" s="38" t="s">
        <v>61</v>
      </c>
      <c r="C54" s="40" t="s">
        <v>56</v>
      </c>
      <c r="D54" s="41"/>
      <c r="E54" s="41"/>
      <c r="F54" s="41"/>
      <c r="G54" s="41"/>
      <c r="H54" s="41"/>
      <c r="I54" s="41"/>
      <c r="J54" s="41"/>
      <c r="K54" s="41"/>
      <c r="L54" s="38" t="s">
        <v>62</v>
      </c>
    </row>
    <row r="55" spans="1:12" ht="20.100000000000001" customHeight="1">
      <c r="A55" s="38" t="s">
        <v>118</v>
      </c>
      <c r="B55" s="38" t="s">
        <v>119</v>
      </c>
      <c r="C55" s="40" t="s">
        <v>56</v>
      </c>
      <c r="D55" s="41"/>
      <c r="E55" s="41"/>
      <c r="F55" s="41"/>
      <c r="G55" s="41"/>
      <c r="H55" s="41"/>
      <c r="I55" s="41"/>
      <c r="J55" s="41"/>
      <c r="K55" s="41"/>
      <c r="L55" s="38" t="s">
        <v>120</v>
      </c>
    </row>
    <row r="56" spans="1:12" ht="20.100000000000001" customHeight="1">
      <c r="A56" s="38" t="s">
        <v>133</v>
      </c>
      <c r="B56" s="38" t="s">
        <v>134</v>
      </c>
      <c r="C56" s="40" t="s">
        <v>56</v>
      </c>
      <c r="D56" s="41"/>
      <c r="E56" s="41"/>
      <c r="F56" s="41"/>
      <c r="G56" s="41"/>
      <c r="H56" s="41"/>
      <c r="I56" s="41"/>
      <c r="J56" s="41"/>
      <c r="K56" s="41"/>
      <c r="L56" s="38" t="s">
        <v>135</v>
      </c>
    </row>
    <row r="57" spans="1:12" ht="20.100000000000001" customHeight="1">
      <c r="A57" s="38" t="s">
        <v>149</v>
      </c>
      <c r="B57" s="38" t="s">
        <v>150</v>
      </c>
      <c r="C57" s="40" t="s">
        <v>56</v>
      </c>
      <c r="D57" s="41"/>
      <c r="E57" s="41"/>
      <c r="F57" s="41"/>
      <c r="G57" s="41"/>
      <c r="H57" s="41"/>
      <c r="I57" s="41"/>
      <c r="J57" s="41"/>
      <c r="K57" s="41"/>
      <c r="L57" s="38" t="s">
        <v>151</v>
      </c>
    </row>
    <row r="58" spans="1:12" ht="20.100000000000001" customHeight="1">
      <c r="A58" s="38" t="s">
        <v>163</v>
      </c>
      <c r="B58" s="38" t="s">
        <v>164</v>
      </c>
      <c r="C58" s="40" t="s">
        <v>56</v>
      </c>
      <c r="D58" s="41"/>
      <c r="E58" s="41"/>
      <c r="F58" s="41"/>
      <c r="G58" s="41"/>
      <c r="H58" s="41"/>
      <c r="I58" s="41"/>
      <c r="J58" s="41"/>
      <c r="K58" s="41"/>
      <c r="L58" s="38" t="s">
        <v>165</v>
      </c>
    </row>
    <row r="59" spans="1:12" ht="20.100000000000001" customHeight="1">
      <c r="A59" s="38" t="s">
        <v>175</v>
      </c>
      <c r="B59" s="38" t="s">
        <v>176</v>
      </c>
      <c r="C59" s="40" t="s">
        <v>56</v>
      </c>
      <c r="D59" s="41"/>
      <c r="E59" s="41"/>
      <c r="F59" s="41"/>
      <c r="G59" s="41"/>
      <c r="H59" s="41"/>
      <c r="I59" s="41"/>
      <c r="J59" s="41"/>
      <c r="K59" s="41"/>
      <c r="L59" s="38" t="s">
        <v>177</v>
      </c>
    </row>
    <row r="60" spans="1:12" ht="20.100000000000001" customHeight="1">
      <c r="A60" s="38" t="s">
        <v>385</v>
      </c>
      <c r="B60" s="38" t="s">
        <v>386</v>
      </c>
      <c r="C60" s="40" t="s">
        <v>359</v>
      </c>
      <c r="D60" s="41"/>
      <c r="E60" s="51"/>
      <c r="F60" s="41"/>
      <c r="G60" s="41"/>
      <c r="H60" s="41"/>
      <c r="I60" s="41"/>
      <c r="J60" s="41"/>
      <c r="K60" s="41"/>
      <c r="L60" s="39"/>
    </row>
    <row r="61" spans="1:12" ht="20.100000000000001" customHeight="1">
      <c r="A61" s="38" t="s">
        <v>387</v>
      </c>
      <c r="B61" s="38" t="s">
        <v>388</v>
      </c>
      <c r="C61" s="40" t="s">
        <v>359</v>
      </c>
      <c r="D61" s="41"/>
      <c r="E61" s="51"/>
      <c r="F61" s="41"/>
      <c r="G61" s="41"/>
      <c r="H61" s="41"/>
      <c r="I61" s="41"/>
      <c r="J61" s="41"/>
      <c r="K61" s="41"/>
      <c r="L61" s="39"/>
    </row>
    <row r="62" spans="1:12" ht="20.100000000000001" customHeight="1">
      <c r="A62" s="38" t="s">
        <v>4</v>
      </c>
      <c r="B62" s="38" t="s">
        <v>389</v>
      </c>
      <c r="C62" s="40" t="s">
        <v>359</v>
      </c>
      <c r="D62" s="41"/>
      <c r="E62" s="51"/>
      <c r="F62" s="41"/>
      <c r="G62" s="41"/>
      <c r="H62" s="41"/>
      <c r="I62" s="41"/>
      <c r="J62" s="41"/>
      <c r="K62" s="41"/>
      <c r="L62" s="39"/>
    </row>
    <row r="63" spans="1:12" ht="20.100000000000001" customHeight="1">
      <c r="A63" s="38" t="s">
        <v>185</v>
      </c>
      <c r="B63" s="38" t="s">
        <v>186</v>
      </c>
      <c r="C63" s="40" t="s">
        <v>56</v>
      </c>
      <c r="D63" s="41"/>
      <c r="E63" s="41"/>
      <c r="F63" s="41"/>
      <c r="G63" s="41"/>
      <c r="H63" s="41"/>
      <c r="I63" s="41"/>
      <c r="J63" s="41"/>
      <c r="K63" s="41"/>
      <c r="L63" s="38" t="s">
        <v>187</v>
      </c>
    </row>
    <row r="64" spans="1:12" ht="20.100000000000001" customHeight="1">
      <c r="A64" s="39"/>
      <c r="B64" s="39"/>
      <c r="C64" s="46"/>
      <c r="D64" s="41"/>
      <c r="E64" s="41"/>
      <c r="F64" s="41"/>
      <c r="G64" s="41"/>
      <c r="H64" s="41"/>
      <c r="I64" s="41"/>
      <c r="J64" s="41"/>
      <c r="K64" s="41"/>
      <c r="L64" s="39"/>
    </row>
  </sheetData>
  <mergeCells count="10">
    <mergeCell ref="A1:L1"/>
    <mergeCell ref="A2:L2"/>
    <mergeCell ref="A3:A4"/>
    <mergeCell ref="B3:B4"/>
    <mergeCell ref="C3:C4"/>
    <mergeCell ref="K3:K4"/>
    <mergeCell ref="L3:L4"/>
    <mergeCell ref="D3:E3"/>
    <mergeCell ref="F3:G3"/>
    <mergeCell ref="I3:J3"/>
  </mergeCells>
  <phoneticPr fontId="1" type="noConversion"/>
  <conditionalFormatting sqref="A5:L64">
    <cfRule type="containsText" dxfId="9" priority="1" stopIfTrue="1" operator="containsText" text=".">
      <formula>NOT(ISERROR(SEARCH(".",A5)))</formula>
    </cfRule>
    <cfRule type="notContainsText" dxfId="8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이름이 지정된 범위</vt:lpstr>
      </vt:variant>
      <vt:variant>
        <vt:i4>27</vt:i4>
      </vt:variant>
    </vt:vector>
  </HeadingPairs>
  <TitlesOfParts>
    <vt:vector size="44" baseType="lpstr">
      <vt:lpstr>표지</vt:lpstr>
      <vt:lpstr>원가계산서</vt:lpstr>
      <vt:lpstr>공종리스트</vt:lpstr>
      <vt:lpstr>내역서</vt:lpstr>
      <vt:lpstr>일위표지</vt:lpstr>
      <vt:lpstr>일위대가목록</vt:lpstr>
      <vt:lpstr>일위대가표</vt:lpstr>
      <vt:lpstr>단가표지</vt:lpstr>
      <vt:lpstr>단가대비표</vt:lpstr>
      <vt:lpstr>단가산출서목록</vt:lpstr>
      <vt:lpstr>단가산출서</vt:lpstr>
      <vt:lpstr>중기경비목록</vt:lpstr>
      <vt:lpstr>중기경비</vt:lpstr>
      <vt:lpstr>산출표지</vt:lpstr>
      <vt:lpstr>집계표</vt:lpstr>
      <vt:lpstr>산출서</vt:lpstr>
      <vt:lpstr>공량산출서</vt:lpstr>
      <vt:lpstr>공량산출서!Print_Area</vt:lpstr>
      <vt:lpstr>공종리스트!Print_Area</vt:lpstr>
      <vt:lpstr>내역서!Print_Area</vt:lpstr>
      <vt:lpstr>단가대비표!Print_Area</vt:lpstr>
      <vt:lpstr>단가산출서!Print_Area</vt:lpstr>
      <vt:lpstr>단가산출서목록!Print_Area</vt:lpstr>
      <vt:lpstr>단가표지!Print_Area</vt:lpstr>
      <vt:lpstr>산출표지!Print_Area</vt:lpstr>
      <vt:lpstr>원가계산서!Print_Area</vt:lpstr>
      <vt:lpstr>일위대가목록!Print_Area</vt:lpstr>
      <vt:lpstr>일위대가표!Print_Area</vt:lpstr>
      <vt:lpstr>일위표지!Print_Area</vt:lpstr>
      <vt:lpstr>중기경비!Print_Area</vt:lpstr>
      <vt:lpstr>중기경비목록!Print_Area</vt:lpstr>
      <vt:lpstr>표지!Print_Area</vt:lpstr>
      <vt:lpstr>공량산출서!Print_Titles</vt:lpstr>
      <vt:lpstr>공종리스트!Print_Titles</vt:lpstr>
      <vt:lpstr>내역서!Print_Titles</vt:lpstr>
      <vt:lpstr>단가대비표!Print_Titles</vt:lpstr>
      <vt:lpstr>단가산출서!Print_Titles</vt:lpstr>
      <vt:lpstr>단가산출서목록!Print_Titles</vt:lpstr>
      <vt:lpstr>원가계산서!Print_Titles</vt:lpstr>
      <vt:lpstr>일위대가목록!Print_Titles</vt:lpstr>
      <vt:lpstr>일위대가표!Print_Titles</vt:lpstr>
      <vt:lpstr>중기경비!Print_Titles</vt:lpstr>
      <vt:lpstr>중기경비목록!Print_Titles</vt:lpstr>
      <vt:lpstr>집계표!Print_Titles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에스원</cp:lastModifiedBy>
  <cp:lastPrinted>2025-10-27T23:48:10Z</cp:lastPrinted>
  <dcterms:created xsi:type="dcterms:W3CDTF">2025-10-23T01:53:13Z</dcterms:created>
  <dcterms:modified xsi:type="dcterms:W3CDTF">2025-11-25T03:42:21Z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